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5138BBDB-20FE-44F7-878A-8BBFBE36EF0A}" xr6:coauthVersionLast="47" xr6:coauthVersionMax="47" xr10:uidLastSave="{DE816FA1-60DD-43DE-8FF1-6821C2E518C2}"/>
  <bookViews>
    <workbookView xWindow="28680" yWindow="-120" windowWidth="29040" windowHeight="15720" tabRatio="759" xr2:uid="{00000000-000D-0000-FFFF-FFFF00000000}"/>
  </bookViews>
  <sheets>
    <sheet name="Step 1 - Fungicide Planner" sheetId="14" r:id="rId1"/>
    <sheet name="Step 2 - Order Planner" sheetId="1" r:id="rId2"/>
    <sheet name="Step 2 - OldManage Apps" sheetId="11" state="veryHidden" r:id="rId3"/>
    <sheet name="Step 3 - Review Order" sheetId="13" r:id="rId4"/>
    <sheet name="Range Reference" sheetId="8" state="veryHidden" r:id="rId5"/>
    <sheet name="Article Reference" sheetId="4" state="veryHidden" r:id="rId6"/>
    <sheet name="Coverage Reference" sheetId="2" state="veryHidden" r:id="rId7"/>
    <sheet name="Sheet1" sheetId="15" state="veryHidden" r:id="rId8"/>
  </sheets>
  <definedNames>
    <definedName name="_xlnm._FilterDatabase" localSheetId="5" hidden="1">'Article Reference'!$A$20:$D$53</definedName>
    <definedName name="_xlnm._FilterDatabase" localSheetId="6" hidden="1">'Coverage Reference'!$A$3:$H$21</definedName>
    <definedName name="_xlnm._FilterDatabase" localSheetId="0" hidden="1">'Step 1 - Fungicide Planner'!$A$18:$G$32</definedName>
    <definedName name="_xlnm._FilterDatabase" localSheetId="2" hidden="1">'Step 2 - OldManage Apps'!$A$21:$I$37</definedName>
    <definedName name="_xlnm._FilterDatabase" localSheetId="3" hidden="1">'Step 3 - Review Order'!$A$24:$F$63</definedName>
    <definedName name="_xlnm.Print_Area" localSheetId="1">'Step 2 - Order Planner'!$A$1:$Q$85</definedName>
    <definedName name="_xlnm.Print_Area" localSheetId="3">'Step 3 - Review Order'!$A$1:$G$74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53" i="4" l="1"/>
  <c r="G53" i="4" s="1"/>
  <c r="F53" i="4"/>
  <c r="H52" i="4"/>
  <c r="G52" i="4" s="1"/>
  <c r="E52" i="4"/>
  <c r="H51" i="4"/>
  <c r="G51" i="4" s="1"/>
  <c r="E51" i="4"/>
  <c r="H50" i="4"/>
  <c r="G50" i="4" s="1"/>
  <c r="E50" i="4"/>
  <c r="H49" i="4"/>
  <c r="F49" i="4"/>
  <c r="G49" i="4" s="1"/>
  <c r="E49" i="4"/>
  <c r="H48" i="4"/>
  <c r="G48" i="4" s="1"/>
  <c r="H47" i="4"/>
  <c r="G47" i="4" s="1"/>
  <c r="F47" i="4"/>
  <c r="H46" i="4"/>
  <c r="G46" i="4"/>
  <c r="E46" i="4"/>
  <c r="H45" i="4"/>
  <c r="G45" i="4" s="1"/>
  <c r="H44" i="4"/>
  <c r="G44" i="4" s="1"/>
  <c r="H43" i="4"/>
  <c r="G43" i="4" s="1"/>
  <c r="F43" i="4"/>
  <c r="H42" i="4"/>
  <c r="G42" i="4"/>
  <c r="E42" i="4"/>
  <c r="H41" i="4"/>
  <c r="G41" i="4" s="1"/>
  <c r="E41" i="4"/>
  <c r="H40" i="4"/>
  <c r="G40" i="4"/>
  <c r="H39" i="4"/>
  <c r="G39" i="4"/>
  <c r="E39" i="4"/>
  <c r="H38" i="4"/>
  <c r="G38" i="4" s="1"/>
  <c r="E38" i="4"/>
  <c r="H37" i="4"/>
  <c r="G37" i="4"/>
  <c r="E37" i="4"/>
  <c r="H36" i="4"/>
  <c r="G36" i="4" s="1"/>
  <c r="H35" i="4"/>
  <c r="G35" i="4" s="1"/>
  <c r="F35" i="4"/>
  <c r="H34" i="4"/>
  <c r="G34" i="4"/>
  <c r="F34" i="4"/>
  <c r="E34" i="4"/>
  <c r="H33" i="4"/>
  <c r="G33" i="4" s="1"/>
  <c r="E33" i="4"/>
  <c r="H32" i="4"/>
  <c r="G32" i="4"/>
  <c r="E32" i="4"/>
  <c r="H31" i="4"/>
  <c r="G31" i="4"/>
  <c r="E31" i="4"/>
  <c r="H30" i="4"/>
  <c r="G30" i="4" s="1"/>
  <c r="E30" i="4"/>
  <c r="H29" i="4"/>
  <c r="G29" i="4"/>
  <c r="H28" i="4"/>
  <c r="G28" i="4"/>
  <c r="H27" i="4"/>
  <c r="E27" i="4"/>
  <c r="H26" i="4"/>
  <c r="F26" i="4"/>
  <c r="G26" i="4" s="1"/>
  <c r="E26" i="4"/>
  <c r="H25" i="4"/>
  <c r="G25" i="4"/>
  <c r="E25" i="4"/>
  <c r="H24" i="4"/>
  <c r="G24" i="4" s="1"/>
  <c r="H23" i="4"/>
  <c r="G23" i="4"/>
  <c r="E23" i="4"/>
  <c r="H22" i="4"/>
  <c r="G22" i="4"/>
  <c r="F22" i="4"/>
  <c r="H21" i="4"/>
  <c r="G21" i="4" s="1"/>
  <c r="E21" i="4"/>
  <c r="E18" i="4"/>
  <c r="D18" i="4"/>
  <c r="H17" i="4"/>
  <c r="G17" i="4"/>
  <c r="F17" i="4"/>
  <c r="H16" i="4"/>
  <c r="G16" i="4" s="1"/>
  <c r="F16" i="4"/>
  <c r="H15" i="4"/>
  <c r="G15" i="4"/>
  <c r="H14" i="4"/>
  <c r="G14" i="4"/>
  <c r="F14" i="4"/>
  <c r="H13" i="4"/>
  <c r="G13" i="4" s="1"/>
  <c r="H12" i="4"/>
  <c r="F12" i="4"/>
  <c r="G12" i="4" s="1"/>
  <c r="H11" i="4"/>
  <c r="G11" i="4"/>
  <c r="F11" i="4"/>
  <c r="H10" i="4"/>
  <c r="G10" i="4" s="1"/>
  <c r="H9" i="4"/>
  <c r="F9" i="4"/>
  <c r="G9" i="4" s="1"/>
  <c r="H8" i="4"/>
  <c r="G8" i="4"/>
  <c r="H7" i="4"/>
  <c r="G7" i="4" s="1"/>
  <c r="F7" i="4"/>
  <c r="H6" i="4"/>
  <c r="F6" i="4"/>
  <c r="G6" i="4" s="1"/>
  <c r="H5" i="4"/>
  <c r="G5" i="4"/>
  <c r="F5" i="4"/>
  <c r="H4" i="4"/>
  <c r="F4" i="4"/>
  <c r="G4" i="4" s="1"/>
  <c r="H3" i="4"/>
  <c r="G3" i="4"/>
  <c r="R23" i="8" l="1"/>
  <c r="R26" i="8"/>
  <c r="R24" i="8"/>
  <c r="R25" i="8"/>
  <c r="R22" i="8"/>
  <c r="O25" i="8"/>
  <c r="P25" i="8" s="1"/>
  <c r="O26" i="8"/>
  <c r="P26" i="8" s="1"/>
  <c r="O24" i="8"/>
  <c r="P24" i="8" s="1"/>
  <c r="N26" i="8"/>
  <c r="M26" i="8"/>
  <c r="N25" i="8"/>
  <c r="M25" i="8"/>
  <c r="N24" i="8"/>
  <c r="M24" i="8"/>
  <c r="N23" i="8"/>
  <c r="M23" i="8"/>
  <c r="M22" i="8"/>
  <c r="M2" i="8"/>
  <c r="M3" i="8"/>
  <c r="K32" i="14"/>
  <c r="K31" i="14"/>
  <c r="K30" i="14"/>
  <c r="K29" i="14"/>
  <c r="K28" i="14"/>
  <c r="K27" i="14"/>
  <c r="K26" i="14"/>
  <c r="K25" i="14"/>
  <c r="K24" i="14"/>
  <c r="K23" i="14"/>
  <c r="K22" i="14"/>
  <c r="K21" i="14"/>
  <c r="K20" i="14"/>
  <c r="P3" i="8"/>
  <c r="O3" i="8"/>
  <c r="L31" i="14"/>
  <c r="M5" i="2"/>
  <c r="M4" i="2"/>
  <c r="L32" i="14"/>
  <c r="B41" i="2"/>
  <c r="B42" i="2"/>
  <c r="N30" i="1"/>
  <c r="P34" i="1" l="1"/>
  <c r="P39" i="1"/>
  <c r="P29" i="1"/>
  <c r="H5" i="2"/>
  <c r="Q9" i="2"/>
  <c r="Q11" i="2" s="1"/>
  <c r="H4" i="2"/>
  <c r="L27" i="1"/>
  <c r="K27" i="1"/>
  <c r="J27" i="1"/>
  <c r="Q26" i="1" l="1"/>
  <c r="Q29" i="1"/>
  <c r="Q34" i="1"/>
  <c r="Q31" i="1"/>
  <c r="Q39" i="1"/>
  <c r="Q36" i="1"/>
  <c r="N2" i="8"/>
  <c r="N3" i="8"/>
  <c r="N4" i="8"/>
  <c r="M4" i="8"/>
  <c r="E37" i="13"/>
  <c r="E36" i="13"/>
  <c r="E35" i="13"/>
  <c r="E34" i="13"/>
  <c r="E33" i="13"/>
  <c r="E32" i="13"/>
  <c r="E31" i="13"/>
  <c r="E30" i="13"/>
  <c r="E29" i="13"/>
  <c r="E28" i="13"/>
  <c r="E27" i="13"/>
  <c r="E26" i="13"/>
  <c r="E25" i="13"/>
  <c r="E62" i="13"/>
  <c r="E61" i="13"/>
  <c r="E60" i="13"/>
  <c r="E59" i="13"/>
  <c r="E58" i="13"/>
  <c r="E57" i="13"/>
  <c r="E56" i="13"/>
  <c r="E55" i="13"/>
  <c r="E54" i="13"/>
  <c r="E53" i="13"/>
  <c r="E52" i="13"/>
  <c r="E51" i="13"/>
  <c r="E50" i="13"/>
  <c r="E49" i="13"/>
  <c r="E48" i="13"/>
  <c r="E47" i="13"/>
  <c r="E46" i="13"/>
  <c r="E45" i="13"/>
  <c r="E44" i="13"/>
  <c r="E43" i="13"/>
  <c r="E42" i="13"/>
  <c r="E41" i="13"/>
  <c r="E40" i="13"/>
  <c r="E39" i="13"/>
  <c r="D61" i="13"/>
  <c r="B61" i="13"/>
  <c r="A61" i="13"/>
  <c r="D71" i="1"/>
  <c r="G71" i="1" s="1"/>
  <c r="B71" i="1"/>
  <c r="A71" i="1"/>
  <c r="D65" i="1"/>
  <c r="G65" i="1" s="1"/>
  <c r="B65" i="1"/>
  <c r="A65" i="1"/>
  <c r="D54" i="4"/>
  <c r="A62" i="13"/>
  <c r="A60" i="13"/>
  <c r="A59" i="13"/>
  <c r="A58" i="13"/>
  <c r="A57" i="13"/>
  <c r="A56" i="13"/>
  <c r="A55" i="13"/>
  <c r="A54" i="13"/>
  <c r="A53" i="13"/>
  <c r="A52" i="13"/>
  <c r="A51" i="13"/>
  <c r="A50" i="13"/>
  <c r="A49" i="13"/>
  <c r="A48" i="13"/>
  <c r="A47" i="13"/>
  <c r="A46" i="13"/>
  <c r="A45" i="13"/>
  <c r="A44" i="13"/>
  <c r="A43" i="13"/>
  <c r="A42" i="13"/>
  <c r="A41" i="13"/>
  <c r="A40" i="13"/>
  <c r="A39" i="13"/>
  <c r="D62" i="13"/>
  <c r="D60" i="13"/>
  <c r="D59" i="13"/>
  <c r="D58" i="13"/>
  <c r="D57" i="13"/>
  <c r="D56" i="13"/>
  <c r="D55" i="13"/>
  <c r="D54" i="13"/>
  <c r="D53" i="13"/>
  <c r="D52" i="13"/>
  <c r="D51" i="13"/>
  <c r="D50" i="13"/>
  <c r="D49" i="13"/>
  <c r="D48" i="13"/>
  <c r="D47" i="13"/>
  <c r="D46" i="13"/>
  <c r="D45" i="13"/>
  <c r="D44" i="13"/>
  <c r="D43" i="13"/>
  <c r="D42" i="13"/>
  <c r="D41" i="13"/>
  <c r="D40" i="13"/>
  <c r="D39" i="13"/>
  <c r="D37" i="13"/>
  <c r="D36" i="13"/>
  <c r="D35" i="13"/>
  <c r="D34" i="13"/>
  <c r="D33" i="13"/>
  <c r="D32" i="13"/>
  <c r="D31" i="13"/>
  <c r="D30" i="13"/>
  <c r="D29" i="13"/>
  <c r="D28" i="13"/>
  <c r="D27" i="13"/>
  <c r="D26" i="13"/>
  <c r="D25" i="13"/>
  <c r="B62" i="13"/>
  <c r="B60" i="13"/>
  <c r="B59" i="13"/>
  <c r="B58" i="13"/>
  <c r="B57" i="13"/>
  <c r="B56" i="13"/>
  <c r="B55" i="13"/>
  <c r="B54" i="13"/>
  <c r="B53" i="13"/>
  <c r="B52" i="13"/>
  <c r="B51" i="13"/>
  <c r="B50" i="13"/>
  <c r="B49" i="13"/>
  <c r="B48" i="13"/>
  <c r="B47" i="13"/>
  <c r="B46" i="13"/>
  <c r="B45" i="13"/>
  <c r="B44" i="13"/>
  <c r="B43" i="13"/>
  <c r="B42" i="13"/>
  <c r="B41" i="13"/>
  <c r="B40" i="13"/>
  <c r="B39" i="13"/>
  <c r="B37" i="13"/>
  <c r="B36" i="13"/>
  <c r="B35" i="13"/>
  <c r="B34" i="13"/>
  <c r="B33" i="13"/>
  <c r="B32" i="13"/>
  <c r="B31" i="13"/>
  <c r="B30" i="13"/>
  <c r="B29" i="13"/>
  <c r="B28" i="13"/>
  <c r="B27" i="13"/>
  <c r="B26" i="13"/>
  <c r="B25" i="13"/>
  <c r="D17" i="13"/>
  <c r="M38" i="2"/>
  <c r="M35" i="2"/>
  <c r="M26" i="2"/>
  <c r="N26" i="2" s="1"/>
  <c r="M29" i="2"/>
  <c r="M30" i="2" s="1"/>
  <c r="P17" i="8"/>
  <c r="P15" i="8"/>
  <c r="P14" i="8"/>
  <c r="P13" i="8"/>
  <c r="P12" i="8"/>
  <c r="P11" i="8"/>
  <c r="P10" i="8"/>
  <c r="P9" i="8"/>
  <c r="P8" i="8"/>
  <c r="P7" i="8"/>
  <c r="P6" i="8"/>
  <c r="P5" i="8"/>
  <c r="P4" i="8"/>
  <c r="R4" i="8" s="1"/>
  <c r="O17" i="8"/>
  <c r="O15" i="8"/>
  <c r="O14" i="8"/>
  <c r="O13" i="8"/>
  <c r="O12" i="8"/>
  <c r="O11" i="8"/>
  <c r="O10" i="8"/>
  <c r="O9" i="8"/>
  <c r="O8" i="8"/>
  <c r="O7" i="8"/>
  <c r="O6" i="8"/>
  <c r="O5" i="8"/>
  <c r="O4" i="8"/>
  <c r="Q4" i="8" s="1"/>
  <c r="P2" i="8"/>
  <c r="O2" i="8"/>
  <c r="L40" i="1"/>
  <c r="L39" i="1"/>
  <c r="L38" i="1"/>
  <c r="L37" i="1"/>
  <c r="L36" i="1"/>
  <c r="L35" i="1"/>
  <c r="L34" i="1"/>
  <c r="L33" i="1"/>
  <c r="L32" i="1"/>
  <c r="L31" i="1"/>
  <c r="L30" i="1"/>
  <c r="L29" i="1"/>
  <c r="L28" i="1"/>
  <c r="L26" i="1"/>
  <c r="K40" i="1"/>
  <c r="K39" i="1"/>
  <c r="K38" i="1"/>
  <c r="K37" i="1"/>
  <c r="K36" i="1"/>
  <c r="K35" i="1"/>
  <c r="K34" i="1"/>
  <c r="K33" i="1"/>
  <c r="K32" i="1"/>
  <c r="K31" i="1"/>
  <c r="K30" i="1"/>
  <c r="K29" i="1"/>
  <c r="K28" i="1"/>
  <c r="K26" i="1"/>
  <c r="J40" i="1"/>
  <c r="J39" i="1"/>
  <c r="J38" i="1"/>
  <c r="J37" i="1"/>
  <c r="J36" i="1"/>
  <c r="J35" i="1"/>
  <c r="J34" i="1"/>
  <c r="J33" i="1"/>
  <c r="J32" i="1"/>
  <c r="J31" i="1"/>
  <c r="J30" i="1"/>
  <c r="J29" i="1"/>
  <c r="J28" i="1"/>
  <c r="J26" i="1"/>
  <c r="A38" i="1"/>
  <c r="A37" i="1"/>
  <c r="A36" i="1"/>
  <c r="A35" i="1"/>
  <c r="A34" i="1"/>
  <c r="A33" i="1"/>
  <c r="A32" i="1"/>
  <c r="A31" i="1"/>
  <c r="A30" i="1"/>
  <c r="A29" i="1"/>
  <c r="A28" i="1"/>
  <c r="A27" i="1"/>
  <c r="A26" i="1"/>
  <c r="B38" i="1"/>
  <c r="B37" i="1"/>
  <c r="B36" i="1"/>
  <c r="B35" i="1"/>
  <c r="B34" i="1"/>
  <c r="B33" i="1"/>
  <c r="B32" i="1"/>
  <c r="B31" i="1"/>
  <c r="B30" i="1"/>
  <c r="B29" i="1"/>
  <c r="B28" i="1"/>
  <c r="B27" i="1"/>
  <c r="B26" i="1"/>
  <c r="M30" i="14"/>
  <c r="M29" i="14"/>
  <c r="M26" i="14"/>
  <c r="M25" i="14"/>
  <c r="M24" i="14"/>
  <c r="M23" i="14"/>
  <c r="M22" i="14"/>
  <c r="M20" i="14"/>
  <c r="D38" i="1"/>
  <c r="I38" i="1" s="1"/>
  <c r="D37" i="1"/>
  <c r="D36" i="1"/>
  <c r="D35" i="1"/>
  <c r="D34" i="1"/>
  <c r="D33" i="1"/>
  <c r="D32" i="1"/>
  <c r="D31" i="1"/>
  <c r="D30" i="1"/>
  <c r="D29" i="1"/>
  <c r="D28" i="1"/>
  <c r="D27" i="1"/>
  <c r="D26" i="1"/>
  <c r="A37" i="13"/>
  <c r="A36" i="13"/>
  <c r="A35" i="13"/>
  <c r="A34" i="13"/>
  <c r="A33" i="13"/>
  <c r="A32" i="13"/>
  <c r="A31" i="13"/>
  <c r="A30" i="13"/>
  <c r="A29" i="13"/>
  <c r="A28" i="13"/>
  <c r="A27" i="13"/>
  <c r="A26" i="13"/>
  <c r="A25" i="13"/>
  <c r="B32" i="14"/>
  <c r="B31" i="14"/>
  <c r="B30" i="14"/>
  <c r="B29" i="14"/>
  <c r="B28" i="14"/>
  <c r="B27" i="14"/>
  <c r="B26" i="14"/>
  <c r="B25" i="14"/>
  <c r="B24" i="14"/>
  <c r="B23" i="14"/>
  <c r="B22" i="14"/>
  <c r="B21" i="14"/>
  <c r="B20" i="14"/>
  <c r="E54" i="4"/>
  <c r="M33" i="2" l="1"/>
  <c r="Q6" i="8"/>
  <c r="R6" i="8"/>
  <c r="F61" i="13"/>
  <c r="F62" i="13"/>
  <c r="Q15" i="8"/>
  <c r="F30" i="13"/>
  <c r="F31" i="13"/>
  <c r="F32" i="13"/>
  <c r="F25" i="13"/>
  <c r="F33" i="13"/>
  <c r="F26" i="13"/>
  <c r="F34" i="13"/>
  <c r="F27" i="13"/>
  <c r="F35" i="13"/>
  <c r="F28" i="13"/>
  <c r="F36" i="13"/>
  <c r="F29" i="13"/>
  <c r="F37" i="13"/>
  <c r="S4" i="8"/>
  <c r="G38" i="1"/>
  <c r="A51" i="1"/>
  <c r="B53" i="1"/>
  <c r="A53" i="1"/>
  <c r="D53" i="1"/>
  <c r="G53" i="1" s="1"/>
  <c r="B21" i="8"/>
  <c r="B20" i="8"/>
  <c r="B4" i="8"/>
  <c r="B3" i="8"/>
  <c r="B11" i="8"/>
  <c r="B12" i="8"/>
  <c r="B13" i="8"/>
  <c r="B14" i="8"/>
  <c r="M32" i="14"/>
  <c r="M31" i="14"/>
  <c r="L28" i="14"/>
  <c r="M28" i="14" s="1"/>
  <c r="L27" i="14"/>
  <c r="M27" i="14" s="1"/>
  <c r="B33" i="2"/>
  <c r="B31" i="2"/>
  <c r="B26" i="2"/>
  <c r="B34" i="2"/>
  <c r="B32" i="2"/>
  <c r="B43" i="2"/>
  <c r="E39" i="2"/>
  <c r="B39" i="2" s="1"/>
  <c r="E38" i="2"/>
  <c r="B38" i="2" s="1"/>
  <c r="E37" i="2"/>
  <c r="B37" i="2" s="1"/>
  <c r="E36" i="2"/>
  <c r="B36" i="2" s="1"/>
  <c r="E34" i="2"/>
  <c r="E33" i="2"/>
  <c r="E32" i="2"/>
  <c r="E31" i="2"/>
  <c r="E26" i="2"/>
  <c r="L70" i="1"/>
  <c r="K70" i="1"/>
  <c r="J70" i="1"/>
  <c r="L69" i="1"/>
  <c r="K69" i="1"/>
  <c r="J69" i="1"/>
  <c r="L68" i="1"/>
  <c r="K68" i="1"/>
  <c r="J68" i="1"/>
  <c r="L66" i="1"/>
  <c r="K66" i="1"/>
  <c r="J66" i="1"/>
  <c r="L64" i="1"/>
  <c r="K64" i="1"/>
  <c r="J64" i="1"/>
  <c r="L63" i="1"/>
  <c r="K63" i="1"/>
  <c r="J63" i="1"/>
  <c r="L62" i="1"/>
  <c r="K62" i="1"/>
  <c r="J62" i="1"/>
  <c r="L61" i="1"/>
  <c r="K61" i="1"/>
  <c r="J61" i="1"/>
  <c r="L59" i="1"/>
  <c r="K59" i="1"/>
  <c r="J59" i="1"/>
  <c r="L58" i="1"/>
  <c r="K58" i="1"/>
  <c r="J58" i="1"/>
  <c r="L57" i="1"/>
  <c r="K57" i="1"/>
  <c r="J57" i="1"/>
  <c r="L56" i="1"/>
  <c r="K56" i="1"/>
  <c r="J56" i="1"/>
  <c r="L55" i="1"/>
  <c r="K55" i="1"/>
  <c r="J55" i="1"/>
  <c r="L54" i="1"/>
  <c r="K54" i="1"/>
  <c r="J54" i="1"/>
  <c r="L52" i="1"/>
  <c r="K52" i="1"/>
  <c r="J52" i="1"/>
  <c r="L51" i="1"/>
  <c r="K51" i="1"/>
  <c r="J51" i="1"/>
  <c r="L49" i="1"/>
  <c r="K49" i="1"/>
  <c r="J49" i="1"/>
  <c r="L48" i="1"/>
  <c r="K48" i="1"/>
  <c r="J48" i="1"/>
  <c r="L46" i="1"/>
  <c r="K46" i="1"/>
  <c r="J46" i="1"/>
  <c r="L45" i="1"/>
  <c r="K45" i="1"/>
  <c r="J45" i="1"/>
  <c r="L44" i="1"/>
  <c r="K44" i="1"/>
  <c r="J44" i="1"/>
  <c r="S6" i="8" l="1"/>
  <c r="F43" i="13"/>
  <c r="F53" i="13" l="1"/>
  <c r="N17" i="8"/>
  <c r="M17" i="8"/>
  <c r="N15" i="8"/>
  <c r="M15" i="8"/>
  <c r="N14" i="8"/>
  <c r="M14" i="8"/>
  <c r="N13" i="8"/>
  <c r="M13" i="8"/>
  <c r="N12" i="8"/>
  <c r="M12" i="8"/>
  <c r="N11" i="8"/>
  <c r="M11" i="8"/>
  <c r="N10" i="8"/>
  <c r="M10" i="8"/>
  <c r="N9" i="8"/>
  <c r="M9" i="8"/>
  <c r="N8" i="8"/>
  <c r="M8" i="8"/>
  <c r="N7" i="8"/>
  <c r="M7" i="8"/>
  <c r="N6" i="8"/>
  <c r="M6" i="8"/>
  <c r="N5" i="8"/>
  <c r="M5" i="8"/>
  <c r="L21" i="14" l="1"/>
  <c r="M21" i="14" s="1"/>
  <c r="F39" i="13" l="1"/>
  <c r="R5" i="8" l="1"/>
  <c r="Q5" i="8"/>
  <c r="S5" i="8" l="1"/>
  <c r="H21" i="14"/>
  <c r="N21" i="14" s="1"/>
  <c r="E27" i="1" s="1"/>
  <c r="A44" i="1"/>
  <c r="B44" i="1"/>
  <c r="D44" i="1"/>
  <c r="G44" i="1" s="1"/>
  <c r="G26" i="1"/>
  <c r="I26" i="1" l="1"/>
  <c r="I21" i="14" l="1"/>
  <c r="D70" i="1" l="1"/>
  <c r="D69" i="1"/>
  <c r="D68" i="1"/>
  <c r="D66" i="1"/>
  <c r="D64" i="1"/>
  <c r="D63" i="1"/>
  <c r="D62" i="1"/>
  <c r="D61" i="1"/>
  <c r="D59" i="1"/>
  <c r="D58" i="1"/>
  <c r="D57" i="1"/>
  <c r="G57" i="1" s="1"/>
  <c r="D56" i="1"/>
  <c r="D55" i="1"/>
  <c r="D54" i="1"/>
  <c r="D52" i="1"/>
  <c r="D51" i="1"/>
  <c r="D49" i="1"/>
  <c r="D48" i="1"/>
  <c r="D46" i="1"/>
  <c r="D45" i="1"/>
  <c r="B70" i="1"/>
  <c r="B69" i="1"/>
  <c r="B68" i="1"/>
  <c r="B66" i="1"/>
  <c r="B64" i="1"/>
  <c r="B63" i="1"/>
  <c r="B62" i="1"/>
  <c r="B61" i="1"/>
  <c r="B59" i="1"/>
  <c r="B58" i="1"/>
  <c r="B57" i="1"/>
  <c r="B56" i="1"/>
  <c r="B55" i="1"/>
  <c r="B54" i="1"/>
  <c r="B52" i="1"/>
  <c r="B51" i="1"/>
  <c r="B49" i="1"/>
  <c r="B48" i="1"/>
  <c r="B46" i="1"/>
  <c r="B45" i="1"/>
  <c r="A57" i="1"/>
  <c r="F57" i="13" l="1"/>
  <c r="F51" i="13"/>
  <c r="F55" i="13"/>
  <c r="F56" i="13"/>
  <c r="F50" i="13"/>
  <c r="F58" i="13"/>
  <c r="F59" i="13"/>
  <c r="F52" i="13"/>
  <c r="F54" i="13"/>
  <c r="F49" i="13"/>
  <c r="R8" i="8" l="1"/>
  <c r="Q8" i="8"/>
  <c r="Q11" i="8"/>
  <c r="S8" i="8" l="1"/>
  <c r="A62" i="1"/>
  <c r="A61" i="1"/>
  <c r="Q10" i="8" l="1"/>
  <c r="Q13" i="8" l="1"/>
  <c r="Q18" i="8" s="1"/>
  <c r="G62" i="1" l="1"/>
  <c r="G61" i="1"/>
  <c r="H32" i="14"/>
  <c r="H31" i="14"/>
  <c r="H30" i="14"/>
  <c r="H29" i="14"/>
  <c r="H28" i="14"/>
  <c r="H27" i="14"/>
  <c r="H25" i="14"/>
  <c r="H24" i="14"/>
  <c r="H22" i="14"/>
  <c r="H20" i="14"/>
  <c r="H23" i="14" l="1"/>
  <c r="N23" i="14" s="1"/>
  <c r="E29" i="1" s="1"/>
  <c r="N31" i="14"/>
  <c r="N24" i="14"/>
  <c r="E30" i="1" s="1"/>
  <c r="N25" i="14"/>
  <c r="E31" i="1" s="1"/>
  <c r="N32" i="14"/>
  <c r="N20" i="14"/>
  <c r="E26" i="1" s="1"/>
  <c r="N30" i="14"/>
  <c r="E36" i="1" s="1"/>
  <c r="N29" i="14"/>
  <c r="E35" i="1" s="1"/>
  <c r="N28" i="14"/>
  <c r="E34" i="1" s="1"/>
  <c r="N27" i="14"/>
  <c r="E33" i="1" s="1"/>
  <c r="H26" i="14"/>
  <c r="N22" i="14"/>
  <c r="E28" i="1" s="1"/>
  <c r="I28" i="11"/>
  <c r="G28" i="11"/>
  <c r="E28" i="11"/>
  <c r="E37" i="1" l="1"/>
  <c r="E38" i="1"/>
  <c r="N26" i="14"/>
  <c r="E32" i="1" s="1"/>
  <c r="F60" i="13"/>
  <c r="F48" i="13"/>
  <c r="F47" i="13"/>
  <c r="F46" i="13"/>
  <c r="F45" i="13"/>
  <c r="F44" i="13"/>
  <c r="F42" i="13"/>
  <c r="F41" i="13"/>
  <c r="F40" i="13"/>
  <c r="G69" i="1"/>
  <c r="G68" i="1"/>
  <c r="G66" i="1"/>
  <c r="G56" i="1"/>
  <c r="G55" i="1"/>
  <c r="G49" i="1"/>
  <c r="G46" i="1"/>
  <c r="G45" i="1"/>
  <c r="A70" i="1"/>
  <c r="A69" i="1"/>
  <c r="A68" i="1"/>
  <c r="A66" i="1"/>
  <c r="A64" i="1"/>
  <c r="A63" i="1"/>
  <c r="A59" i="1"/>
  <c r="A58" i="1"/>
  <c r="A56" i="1"/>
  <c r="A55" i="1"/>
  <c r="A54" i="1"/>
  <c r="A52" i="1"/>
  <c r="A49" i="1"/>
  <c r="A48" i="1"/>
  <c r="A46" i="1"/>
  <c r="A45" i="1"/>
  <c r="I31" i="14"/>
  <c r="I26" i="14"/>
  <c r="I24" i="14"/>
  <c r="G30" i="1" l="1"/>
  <c r="I25" i="14"/>
  <c r="G27" i="1"/>
  <c r="I22" i="14"/>
  <c r="G35" i="1"/>
  <c r="I30" i="14"/>
  <c r="I34" i="1"/>
  <c r="I29" i="14"/>
  <c r="I28" i="1"/>
  <c r="I23" i="14"/>
  <c r="I33" i="1"/>
  <c r="I28" i="14"/>
  <c r="G37" i="1"/>
  <c r="I32" i="14"/>
  <c r="I20" i="14"/>
  <c r="I32" i="1"/>
  <c r="I27" i="14"/>
  <c r="G51" i="1"/>
  <c r="G58" i="1"/>
  <c r="G63" i="1"/>
  <c r="G70" i="1"/>
  <c r="G52" i="1"/>
  <c r="G59" i="1"/>
  <c r="G64" i="1"/>
  <c r="G48" i="1"/>
  <c r="G54" i="1"/>
  <c r="I29" i="1"/>
  <c r="G31" i="1"/>
  <c r="G36" i="1"/>
  <c r="G28" i="1"/>
  <c r="G32" i="1"/>
  <c r="I36" i="1"/>
  <c r="G29" i="1"/>
  <c r="G33" i="1"/>
  <c r="I27" i="1"/>
  <c r="I31" i="1"/>
  <c r="I35" i="1"/>
  <c r="I37" i="1"/>
  <c r="I30" i="1"/>
  <c r="G34" i="1"/>
  <c r="E36" i="11"/>
  <c r="I36" i="11"/>
  <c r="G36" i="11"/>
  <c r="H32" i="11"/>
  <c r="F32" i="11"/>
  <c r="H33" i="11"/>
  <c r="F33" i="11"/>
  <c r="D33" i="11"/>
  <c r="D23" i="11"/>
  <c r="E23" i="11" s="1"/>
  <c r="A13" i="13"/>
  <c r="G37" i="11"/>
  <c r="I37" i="11"/>
  <c r="E37" i="1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S26" i="8" l="1"/>
  <c r="T26" i="8" s="1"/>
  <c r="S24" i="8"/>
  <c r="T24" i="8" s="1"/>
  <c r="R15" i="8"/>
  <c r="S15" i="8" s="1"/>
  <c r="S25" i="8"/>
  <c r="T25" i="8" s="1"/>
  <c r="G72" i="1"/>
  <c r="I41" i="1"/>
  <c r="G41" i="1"/>
  <c r="R13" i="8"/>
  <c r="S13" i="8" s="1"/>
  <c r="R10" i="8"/>
  <c r="S10" i="8" s="1"/>
  <c r="F20" i="8"/>
  <c r="F23" i="8" s="1"/>
  <c r="H30" i="11"/>
  <c r="F30" i="11"/>
  <c r="D29" i="11"/>
  <c r="E29" i="11" s="1"/>
  <c r="H29" i="11"/>
  <c r="I29" i="11" s="1"/>
  <c r="F29" i="11"/>
  <c r="G29" i="11" s="1"/>
  <c r="F36" i="11"/>
  <c r="D28" i="11"/>
  <c r="F37" i="11"/>
  <c r="H37" i="11"/>
  <c r="F28" i="11"/>
  <c r="R11" i="8"/>
  <c r="S11" i="8" s="1"/>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B22" i="1" l="1"/>
  <c r="F17" i="13" s="1"/>
  <c r="H17" i="1"/>
  <c r="R18" i="8"/>
  <c r="S18" i="8"/>
  <c r="J41" i="1"/>
  <c r="H19" i="1"/>
  <c r="F63" i="13" s="1"/>
  <c r="J72" i="1"/>
  <c r="E11" i="8"/>
  <c r="H26" i="11"/>
  <c r="I26" i="11" s="1"/>
  <c r="B17" i="1" l="1"/>
  <c r="H21" i="1"/>
  <c r="E4" i="8"/>
  <c r="E3" i="8"/>
  <c r="E5" i="8"/>
  <c r="F38" i="13"/>
  <c r="E21" i="8"/>
  <c r="G21" i="8" s="1"/>
  <c r="F15" i="8"/>
  <c r="E13" i="8"/>
  <c r="F14" i="8"/>
  <c r="F13" i="8"/>
  <c r="F12" i="8"/>
  <c r="F11" i="8"/>
  <c r="G11" i="8" s="1"/>
  <c r="E14" i="8"/>
  <c r="E15" i="8"/>
  <c r="E12" i="8"/>
  <c r="E22" i="8"/>
  <c r="G22" i="8" s="1"/>
  <c r="E20" i="8"/>
  <c r="G20" i="8" s="1"/>
  <c r="B18" i="1"/>
  <c r="P16" i="1"/>
  <c r="H10" i="8"/>
  <c r="G15" i="8" l="1"/>
  <c r="H13" i="8"/>
  <c r="H15" i="8"/>
  <c r="E23" i="8"/>
  <c r="G23" i="8" s="1"/>
  <c r="H11" i="8"/>
  <c r="H14" i="8"/>
  <c r="H12" i="8"/>
  <c r="G12" i="8"/>
  <c r="G14" i="8"/>
  <c r="G13" i="8"/>
  <c r="G16" i="8" l="1"/>
  <c r="B20" i="1" s="1"/>
  <c r="H16" i="8" a="1"/>
  <c r="H16" i="8" s="1"/>
  <c r="H19" i="8"/>
  <c r="P20" i="1" l="1"/>
  <c r="Q20" i="1" s="1"/>
  <c r="F14" i="13"/>
  <c r="G5" i="8"/>
  <c r="H22" i="8"/>
  <c r="H20" i="8"/>
  <c r="H21" i="8"/>
  <c r="H23" i="8" l="1" a="1"/>
  <c r="H23" i="8" s="1"/>
  <c r="P25" i="1" s="1"/>
  <c r="G4" i="8"/>
  <c r="G3" i="8" l="1"/>
  <c r="E6" i="8"/>
  <c r="G6" i="8" l="1"/>
  <c r="B21" i="1" s="1"/>
  <c r="H18" i="1" s="1"/>
  <c r="Q25" i="1" l="1"/>
  <c r="H20" i="1"/>
  <c r="H23" i="1" s="1"/>
  <c r="F16" i="13"/>
  <c r="J31" i="14"/>
  <c r="J32" i="14"/>
  <c r="J29" i="14"/>
  <c r="J30" i="14"/>
  <c r="J27" i="14"/>
  <c r="J28" i="14"/>
  <c r="J25" i="14"/>
  <c r="J26" i="14"/>
  <c r="J23" i="14"/>
  <c r="J24" i="14"/>
  <c r="J21" i="14"/>
  <c r="J22" i="14"/>
  <c r="F15" i="13"/>
  <c r="J20" i="14"/>
  <c r="H22" i="1" l="1"/>
  <c r="F18" i="13" s="1"/>
  <c r="F20"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<sst xmlns="http://schemas.openxmlformats.org/spreadsheetml/2006/main" count="475" uniqueCount="292">
  <si>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</si>
  <si>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</si>
  <si>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</si>
  <si>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</si>
  <si>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</si>
  <si>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</si>
  <si>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</si>
  <si>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</si>
  <si>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</si>
  <si>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</si>
  <si>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</si>
  <si>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</si>
  <si>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</si>
  <si>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</si>
  <si>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</si>
  <si>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</si>
  <si>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</si>
  <si>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</si>
  <si>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</si>
  <si>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</si>
  <si>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</si>
  <si>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</si>
  <si>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</si>
  <si>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</si>
  <si>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</si>
  <si>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</si>
  <si>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</si>
  <si>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</si>
  <si>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</si>
  <si>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</si>
  <si>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</si>
  <si>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</si>
  <si>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</si>
  <si>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</si>
  <si>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</si>
  <si>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</si>
  <si>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</si>
  <si>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</si>
  <si>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</si>
  <si>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</si>
  <si>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</si>
  <si>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</si>
  <si>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</si>
  <si>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</si>
  <si>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</si>
  <si>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</si>
  <si>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</si>
  <si>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</si>
  <si>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</si>
  <si>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</si>
  <si>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</si>
  <si>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</si>
  <si>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</si>
  <si>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</si>
  <si>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</si>
  <si>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</si>
  <si>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</si>
  <si>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</si>
  <si>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</si>
  <si>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</si>
  <si>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</si>
  <si>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</si>
  <si>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</si>
  <si>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</si>
  <si>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</si>
  <si>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</si>
  <si>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</si>
  <si>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</si>
  <si>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</si>
  <si>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</si>
  <si>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</si>
  <si>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</si>
  <si>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</si>
  <si>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</si>
  <si>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</si>
  <si>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</si>
  <si>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</si>
  <si>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</si>
  <si>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</si>
  <si>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</si>
  <si>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</si>
  <si>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</si>
  <si>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</si>
  <si>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</si>
  <si>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</si>
  <si>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</si>
  <si>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</si>
  <si>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</si>
  <si>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</si>
  <si>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</si>
  <si>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</si>
  <si>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</si>
  <si>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</si>
  <si>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</si>
  <si>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</si>
  <si>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</si>
  <si>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</si>
  <si>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</si>
  <si>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</si>
  <si>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</si>
  <si>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</si>
  <si>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</si>
  <si>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</si>
  <si>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</si>
  <si>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</si>
  <si>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</si>
  <si>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3 or More Fungicide Brands</t>
  </si>
  <si>
    <t>Acres</t>
  </si>
  <si>
    <t>Rate</t>
  </si>
  <si>
    <t>Number of Applications</t>
  </si>
  <si>
    <t>Coverage</t>
  </si>
  <si>
    <t>Cases of Product Needed</t>
  </si>
  <si>
    <t>Application Rate</t>
  </si>
  <si>
    <t>BASF Brand Name</t>
  </si>
  <si>
    <t>Cost per Acre
(before rebate)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</si>
  <si>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</si>
  <si>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</si>
  <si>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</si>
  <si>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</si>
  <si>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</si>
  <si>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</si>
  <si>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</si>
  <si>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</si>
  <si>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</si>
  <si>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</si>
  <si>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</si>
  <si>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Cases</t>
  </si>
  <si>
    <t>QUALIFYING FUNGICIDE EOP SUB-TOTAL</t>
  </si>
  <si>
    <t>QUALIFYING EOP PRODUCTS SUB-TOTAL</t>
  </si>
  <si>
    <t>4 x 26 oz</t>
  </si>
  <si>
    <t>4 x 37 fl oz</t>
  </si>
  <si>
    <t>4 x 1 gal</t>
  </si>
  <si>
    <t>2 x 1 gal</t>
  </si>
  <si>
    <t>4 x 0.5 gal</t>
  </si>
  <si>
    <t>4 x 0.125 gal</t>
  </si>
  <si>
    <t>12 x 0.25 gal</t>
  </si>
  <si>
    <t>4 x 20 oz</t>
  </si>
  <si>
    <t>Emerald®</t>
  </si>
  <si>
    <t>Maxtima® Fungicide</t>
  </si>
  <si>
    <t>Maxtima®</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</si>
  <si>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</si>
  <si>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</si>
  <si>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</si>
  <si>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</si>
  <si>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</si>
  <si>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</si>
  <si>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</si>
  <si>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</si>
  <si>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</si>
  <si>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</si>
  <si>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</si>
  <si>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</si>
  <si>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</si>
  <si>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</si>
  <si>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</si>
  <si>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</si>
  <si>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</si>
  <si>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</si>
  <si>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</si>
  <si>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</si>
  <si>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</si>
  <si>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</si>
  <si>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</si>
  <si>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</si>
  <si>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</si>
  <si>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</si>
  <si>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</si>
  <si>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Honor® Intrinsic®</t>
  </si>
  <si>
    <t>Insignia® SC Intrinsic®</t>
  </si>
  <si>
    <t>Lexicon® Intrinsic®</t>
  </si>
  <si>
    <t>Navicon® Intrinsic®</t>
  </si>
  <si>
    <t>Xzemplar®</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</si>
  <si>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</si>
  <si>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</si>
  <si>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</si>
  <si>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</si>
  <si>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</si>
  <si>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</si>
  <si>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</si>
  <si>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</si>
  <si>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</si>
  <si>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</si>
  <si>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</si>
  <si>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</si>
  <si>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</si>
  <si>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</si>
  <si>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Design Your Own Program Fungicide Planner</t>
  </si>
  <si>
    <t>Ventigra® insecticide</t>
  </si>
  <si>
    <t>4 x 16 oz</t>
  </si>
  <si>
    <t>4 x 4 oz</t>
  </si>
  <si>
    <t>Encartis® fungicide</t>
  </si>
  <si>
    <t>Encartis</t>
  </si>
  <si>
    <t>Encartis®</t>
  </si>
  <si>
    <t xml:space="preserve">Finale®  XL T&amp;O herbicide </t>
  </si>
  <si>
    <t>130.5 fl oz</t>
  </si>
  <si>
    <t>152.5 fl oz</t>
  </si>
  <si>
    <t>174.0 fl oz</t>
  </si>
  <si>
    <t>Insecticides</t>
  </si>
  <si>
    <t>Fungicides</t>
  </si>
  <si>
    <t>Herbicides</t>
  </si>
  <si>
    <t>Colorants</t>
  </si>
  <si>
    <t>Earned Incentive %</t>
  </si>
  <si>
    <r>
      <t xml:space="preserve">Cases Needed </t>
    </r>
    <r>
      <rPr>
        <b/>
        <sz val="8"/>
        <color theme="0"/>
        <rFont val="Arial"/>
        <family val="2"/>
      </rPr>
      <t>(rounded up to partial cases)</t>
    </r>
  </si>
  <si>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</si>
  <si>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</si>
  <si>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</si>
  <si>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</si>
  <si>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</si>
  <si>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</si>
  <si>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r>
      <t>Cost per Acre
(after rebate</t>
    </r>
    <r>
      <rPr>
        <b/>
        <sz val="12"/>
        <color rgb="FFFF0000"/>
        <rFont val="Arial"/>
        <family val="2"/>
      </rPr>
      <t>*</t>
    </r>
    <r>
      <rPr>
        <b/>
        <sz val="10"/>
        <color theme="0"/>
        <rFont val="Arial"/>
        <family val="2"/>
      </rPr>
      <t>)</t>
    </r>
  </si>
  <si>
    <t>Qualifying EOP Purchase Level (Excluding DYOP Fungicides)</t>
  </si>
  <si>
    <t>DYOP Rebate</t>
  </si>
  <si>
    <t>Across-The-Course Rebate</t>
  </si>
  <si>
    <r>
      <rPr>
        <b/>
        <i/>
        <sz val="14"/>
        <color rgb="FFFF0000"/>
        <rFont val="Arial"/>
        <family val="2"/>
      </rPr>
      <t>*</t>
    </r>
    <r>
      <rPr>
        <b/>
        <i/>
        <sz val="14"/>
        <color theme="1"/>
        <rFont val="Arial"/>
        <family val="2"/>
      </rPr>
      <t xml:space="preserve"> Cost per Acre after rebate is estimated based on orders in "Step 2 - Order Planner" tab</t>
    </r>
  </si>
  <si>
    <t>DYOP Total Purchases</t>
  </si>
  <si>
    <t>Qualifying Fungicide Purchase Level (DYOP)</t>
  </si>
  <si>
    <t>DYOP Rebate Program Locked</t>
  </si>
  <si>
    <t>Spend for Next DYOP Level</t>
  </si>
  <si>
    <t>Upgrade Your DYOP Rebate</t>
  </si>
  <si>
    <t>DYOP Rebate Attained</t>
  </si>
  <si>
    <t>10 x 2.375 lbs</t>
  </si>
  <si>
    <t>oz</t>
  </si>
  <si>
    <t>30.5 oz</t>
  </si>
  <si>
    <t>8.0 oz</t>
  </si>
  <si>
    <t>48.0 oz</t>
  </si>
  <si>
    <t>21.0 oz</t>
  </si>
  <si>
    <t>37.5 oz</t>
  </si>
  <si>
    <t>DYOP</t>
  </si>
  <si>
    <t>$8,000-$19,999</t>
  </si>
  <si>
    <t>$3,000-$7,999</t>
  </si>
  <si>
    <t>$20,000+</t>
  </si>
  <si>
    <t>Design Your Own Program (DYOP)</t>
  </si>
  <si>
    <t>$3,000-$7,999 (Par)</t>
  </si>
  <si>
    <t>$8,000-$19,999 (Birdie)</t>
  </si>
  <si>
    <t>$20,000-$29,999 (Eagle)</t>
  </si>
  <si>
    <t>$30,000-$39,999 (Albatross)</t>
  </si>
  <si>
    <t>$40,000+ (Ace)</t>
  </si>
  <si>
    <t>Pillar® SC Intrinsic brand fungicide</t>
  </si>
  <si>
    <t>Spray Indicators</t>
  </si>
  <si>
    <t>Design-Your-Own-Program Rebate Purchases Sub-Total</t>
  </si>
  <si>
    <t>Across the Course Solutions (ACS)</t>
  </si>
  <si>
    <t>Across-the-Course-Solutions Purchases</t>
  </si>
  <si>
    <t>Across-the-Course-Solutions Rebate</t>
  </si>
  <si>
    <t>17% (+12% on ACS brands)</t>
  </si>
  <si>
    <t>20% (+12% on ACS brands)</t>
  </si>
  <si>
    <t>24% (+12% on ACS brands)</t>
  </si>
  <si>
    <t>10% (+12% on ACS brands)</t>
  </si>
  <si>
    <t>CA Redemption</t>
  </si>
  <si>
    <t>NO CA</t>
  </si>
  <si>
    <t>Total Effective Rebate on All Purchases</t>
  </si>
  <si>
    <t>Across-the-Course-Solutions Rebate Purchase Sub-Total</t>
  </si>
  <si>
    <t>One (1) Qualifying Brand</t>
  </si>
  <si>
    <t>Three (3) Qualifying Brands</t>
  </si>
  <si>
    <t>9% (+12% on ACS brands)</t>
  </si>
  <si>
    <t>12% (+12% on ACS Brands)</t>
  </si>
  <si>
    <t>(Eagle, Albatross, Ace DYOP customers  automatically qualify for this tier)</t>
  </si>
  <si>
    <t>Aramax™ Intrinsic® Brand Fungicide</t>
  </si>
  <si>
    <t>Aramax</t>
  </si>
  <si>
    <t>Quantity Ordered</t>
  </si>
  <si>
    <t>Conv. to bottle</t>
  </si>
  <si>
    <t>Discontinued</t>
  </si>
  <si>
    <t>lawn care only</t>
  </si>
  <si>
    <t>Discontinued ???</t>
  </si>
  <si>
    <t>DYOP Brand Requirements</t>
  </si>
  <si>
    <t>Spend for Next ACS Level</t>
  </si>
  <si>
    <t>BASF 2026 EOP ORDER SUMMARY</t>
  </si>
  <si>
    <t>Aramax™ Intrinsic brand fungicide</t>
  </si>
  <si>
    <t>4 x 43.5 fl oz</t>
  </si>
  <si>
    <t>2026 Qualifying Fungicides</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</si>
  <si>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</si>
  <si>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</si>
  <si>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</si>
  <si>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</si>
  <si>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</si>
  <si>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</si>
  <si>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</si>
  <si>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</si>
  <si>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Insignia® SC Intrinsic® Kicker
(2-bottles min)</t>
  </si>
  <si>
    <t>Navicon® Intrinsic® Kicker
(3-bottles min)</t>
  </si>
  <si>
    <t>Min Bottles</t>
  </si>
  <si>
    <t>Sales</t>
  </si>
  <si>
    <t>Award</t>
  </si>
  <si>
    <t>Percent</t>
  </si>
  <si>
    <t>Fairway Fungicide Kicker Rebate</t>
  </si>
  <si>
    <t>Oct. 1-31, 2026</t>
  </si>
  <si>
    <t>Nov. 1-Dec. 4, 2026</t>
  </si>
  <si>
    <t>Oct.1-Dec. 4, 2026</t>
  </si>
  <si>
    <t>Total Effective Rebate Percentage</t>
  </si>
  <si>
    <t>Not in NY</t>
  </si>
  <si>
    <t>Drums</t>
  </si>
  <si>
    <t>Honor® Intrinsic® Intrinsic® Kicker
(2-kegs min)</t>
  </si>
  <si>
    <t>2027 Rest of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</si>
</sst>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51"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i/>
      <sz val="14"/>
      <color theme="1"/>
      <name val="Arial"/>
      <family val="2"/>
    </font>
    <font>
      <b/>
      <sz val="8"/>
      <color theme="0"/>
      <name val="Arial"/>
      <family val="2"/>
    </font>
    <font>
      <b/>
      <sz val="9"/>
      <name val="Arial"/>
      <family val="2"/>
    </font>
    <font>
      <b/>
      <sz val="11"/>
      <color theme="0"/>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i/>
      <sz val="14"/>
      <color rgb="FFFF0000"/>
      <name val="Arial"/>
      <family val="2"/>
    </font>
    <font>
      <b/>
      <sz val="12"/>
      <color rgb="FFFF0000"/>
      <name val="Arial"/>
      <family val="2"/>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
      <strike/>
      <sz val="9"/>
      <name val="Calibri"/>
      <family val="2"/>
      <scheme val="minor"/>
    </font>
    <font>
      <strike/>
      <sz val="11"/>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7" fillId="0" borderId="0"/>
  </cellStyleXfs>
  <cellXfs count="353">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43" fontId="0" fillId="0" borderId="1" xfId="34" applyFont="1" applyBorder="1"/>
    <xf numFmtId="0" fontId="0" fillId="0" borderId="1" xfId="0" applyBorder="1" applyAlignment="1">
      <alignment horizontal="center"/>
    </xf>
    <xf numFmtId="0" fontId="13" fillId="0" borderId="1" xfId="0" applyFont="1" applyBorder="1" applyAlignment="1">
      <alignment horizontal="center" vertical="center"/>
    </xf>
    <xf numFmtId="43" fontId="13" fillId="0" borderId="1" xfId="34" applyFont="1" applyFill="1" applyBorder="1" applyAlignment="1">
      <alignment horizontal="center" vertical="center"/>
    </xf>
    <xf numFmtId="44" fontId="13" fillId="0" borderId="1" xfId="33" applyFont="1" applyFill="1" applyBorder="1" applyAlignment="1">
      <alignment horizontal="center" vertical="center"/>
    </xf>
    <xf numFmtId="0" fontId="6" fillId="0" borderId="1" xfId="0" applyFont="1" applyBorder="1" applyAlignment="1">
      <alignment horizontal="center"/>
    </xf>
    <xf numFmtId="0" fontId="9" fillId="0" borderId="0" xfId="37" applyFont="1"/>
    <xf numFmtId="43" fontId="2" fillId="2" borderId="1" xfId="34" applyFont="1" applyFill="1" applyBorder="1" applyAlignment="1">
      <alignment horizontal="center" vertical="center"/>
    </xf>
    <xf numFmtId="43" fontId="0" fillId="0" borderId="1" xfId="0" applyNumberFormat="1" applyBorder="1"/>
    <xf numFmtId="0" fontId="28" fillId="0" borderId="0" xfId="0" applyFont="1"/>
    <xf numFmtId="0" fontId="13" fillId="4" borderId="2" xfId="0" applyFont="1" applyFill="1" applyBorder="1" applyAlignment="1" applyProtection="1">
      <alignment horizontal="center" vertical="center"/>
      <protection locked="0"/>
    </xf>
    <xf numFmtId="43" fontId="13" fillId="4" borderId="2" xfId="34" applyFont="1" applyFill="1" applyBorder="1" applyAlignment="1" applyProtection="1">
      <alignment horizontal="center" vertical="center"/>
      <protection locked="0"/>
    </xf>
    <xf numFmtId="43" fontId="13" fillId="4" borderId="1" xfId="34" applyFont="1" applyFill="1" applyBorder="1" applyAlignment="1" applyProtection="1">
      <alignment horizontal="center" vertical="center"/>
      <protection locked="0"/>
    </xf>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23" fillId="0" borderId="1" xfId="0" applyFont="1" applyBorder="1" applyAlignment="1">
      <alignment horizontal="center" vertical="center"/>
    </xf>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2" fillId="19" borderId="1" xfId="1" applyFill="1" applyBorder="1" applyAlignment="1">
      <alignment horizontal="center" vertic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6" fillId="18" borderId="1" xfId="0" applyFont="1" applyFill="1" applyBorder="1" applyAlignment="1">
      <alignment horizontal="center" vertical="center" wrapText="1"/>
    </xf>
    <xf numFmtId="44" fontId="36" fillId="18" borderId="1" xfId="33" applyFont="1" applyFill="1" applyBorder="1" applyAlignment="1">
      <alignment horizontal="center" vertical="center" wrapText="1"/>
    </xf>
    <xf numFmtId="0" fontId="37" fillId="0" borderId="11" xfId="0" applyFont="1" applyBorder="1" applyAlignment="1">
      <alignment horizontal="center"/>
    </xf>
    <xf numFmtId="0" fontId="38" fillId="0" borderId="11" xfId="0" applyFont="1" applyBorder="1" applyAlignment="1">
      <alignment horizontal="center" vertical="center"/>
    </xf>
    <xf numFmtId="0" fontId="39" fillId="0" borderId="11" xfId="0" applyFont="1" applyBorder="1" applyAlignment="1">
      <alignment horizontal="center" vertical="center"/>
    </xf>
    <xf numFmtId="0" fontId="13" fillId="2" borderId="2" xfId="0" applyFont="1" applyFill="1" applyBorder="1" applyAlignment="1" applyProtection="1">
      <alignment horizontal="center" vertical="center"/>
      <protection locked="0"/>
    </xf>
    <xf numFmtId="0" fontId="0" fillId="0" borderId="11" xfId="0" applyBorder="1" applyAlignment="1">
      <alignment horizontal="center"/>
    </xf>
    <xf numFmtId="44" fontId="5" fillId="4" borderId="1" xfId="33" applyFont="1" applyFill="1" applyBorder="1" applyAlignment="1"/>
    <xf numFmtId="0" fontId="5" fillId="24" borderId="0" xfId="0" applyFont="1" applyFill="1"/>
    <xf numFmtId="44" fontId="36"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9"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43" fontId="2" fillId="9" borderId="0" xfId="34" applyFont="1" applyFill="1" applyBorder="1" applyAlignment="1">
      <alignment horizontal="center" vertic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8" fillId="0" borderId="22" xfId="40" applyFont="1" applyBorder="1" applyAlignment="1">
      <alignment horizontal="center"/>
    </xf>
    <xf numFmtId="0" fontId="48" fillId="0" borderId="22"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0" fontId="16" fillId="0" borderId="0" xfId="0" applyFont="1" applyAlignment="1">
      <alignment horizontal="center"/>
    </xf>
    <xf numFmtId="0" fontId="5" fillId="25" borderId="0" xfId="0" applyFont="1" applyFill="1"/>
    <xf numFmtId="0" fontId="22" fillId="2" borderId="23" xfId="1" applyFont="1" applyFill="1" applyBorder="1" applyAlignment="1">
      <alignment horizontal="left" vertical="center"/>
    </xf>
    <xf numFmtId="0" fontId="2" fillId="2" borderId="23" xfId="1" applyFill="1" applyBorder="1" applyAlignment="1">
      <alignment horizontal="center" vertical="center"/>
    </xf>
    <xf numFmtId="0" fontId="0" fillId="0" borderId="23" xfId="0" applyBorder="1" applyAlignment="1">
      <alignment horizontal="center"/>
    </xf>
    <xf numFmtId="44" fontId="2" fillId="2" borderId="23" xfId="6" applyFont="1" applyFill="1" applyBorder="1" applyAlignment="1">
      <alignment horizontal="center" vertical="center"/>
    </xf>
    <xf numFmtId="43" fontId="2" fillId="2" borderId="23" xfId="34" applyFont="1" applyFill="1" applyBorder="1" applyAlignment="1">
      <alignment horizontal="center" vertical="center"/>
    </xf>
    <xf numFmtId="0" fontId="7" fillId="3" borderId="23" xfId="1" applyFont="1" applyFill="1" applyBorder="1" applyAlignment="1">
      <alignment horizontal="center" vertical="center"/>
    </xf>
    <xf numFmtId="44" fontId="5" fillId="0" borderId="0" xfId="33"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8"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8" fillId="0" borderId="24" xfId="40" applyFont="1" applyBorder="1" applyAlignment="1">
      <alignment horizontal="center"/>
    </xf>
    <xf numFmtId="0" fontId="6" fillId="2" borderId="6" xfId="1" applyFont="1" applyFill="1" applyBorder="1"/>
    <xf numFmtId="0" fontId="6" fillId="0" borderId="6" xfId="1" applyFont="1" applyBorder="1" applyAlignment="1">
      <alignment horizontal="center"/>
    </xf>
    <xf numFmtId="44" fontId="5" fillId="0" borderId="6" xfId="33" applyFont="1" applyBorder="1"/>
    <xf numFmtId="44" fontId="5" fillId="0" borderId="6" xfId="33" applyFont="1" applyBorder="1" applyAlignment="1"/>
    <xf numFmtId="44" fontId="5" fillId="0" borderId="1" xfId="33" applyFont="1" applyBorder="1"/>
    <xf numFmtId="0" fontId="48" fillId="0" borderId="25" xfId="40" applyFont="1" applyBorder="1" applyAlignment="1">
      <alignment horizontal="center"/>
    </xf>
    <xf numFmtId="0" fontId="6" fillId="0" borderId="4" xfId="1" applyFont="1" applyBorder="1"/>
    <xf numFmtId="0" fontId="6" fillId="0" borderId="4" xfId="1" applyFont="1" applyBorder="1" applyAlignment="1">
      <alignment horizontal="center"/>
    </xf>
    <xf numFmtId="44" fontId="5" fillId="0" borderId="4" xfId="33" applyFont="1" applyBorder="1"/>
    <xf numFmtId="44" fontId="5" fillId="0" borderId="4" xfId="33" applyFont="1" applyBorder="1" applyAlignment="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8" fillId="12" borderId="1" xfId="40" applyFont="1" applyFill="1" applyBorder="1" applyAlignment="1">
      <alignment horizontal="center" vertical="center"/>
    </xf>
    <xf numFmtId="0" fontId="48" fillId="0" borderId="24" xfId="40" applyFont="1" applyBorder="1" applyAlignment="1">
      <alignment horizontal="center" vertical="center"/>
    </xf>
    <xf numFmtId="0" fontId="6" fillId="0" borderId="6" xfId="1" applyFont="1" applyBorder="1"/>
    <xf numFmtId="44" fontId="5" fillId="4" borderId="6" xfId="33" applyFont="1" applyFill="1" applyBorder="1" applyAlignment="1"/>
    <xf numFmtId="0" fontId="48" fillId="0" borderId="25" xfId="40" applyFont="1" applyBorder="1" applyAlignment="1">
      <alignment horizontal="center" vertical="center"/>
    </xf>
    <xf numFmtId="0" fontId="5" fillId="0" borderId="6" xfId="0" applyFont="1" applyBorder="1"/>
    <xf numFmtId="0" fontId="5" fillId="0" borderId="4" xfId="0" applyFont="1" applyBorder="1"/>
    <xf numFmtId="0" fontId="5" fillId="12" borderId="1" xfId="0" applyFont="1" applyFill="1" applyBorder="1"/>
    <xf numFmtId="44" fontId="5" fillId="12" borderId="1" xfId="33" applyFont="1" applyFill="1" applyBorder="1"/>
    <xf numFmtId="0" fontId="49" fillId="2" borderId="1" xfId="1" applyFont="1" applyFill="1" applyBorder="1" applyAlignment="1">
      <alignment horizontal="center" vertical="center"/>
    </xf>
    <xf numFmtId="0" fontId="49" fillId="2" borderId="1" xfId="1" applyFont="1" applyFill="1" applyBorder="1" applyAlignment="1">
      <alignment horizontal="left" vertical="center"/>
    </xf>
    <xf numFmtId="43" fontId="50" fillId="0" borderId="1" xfId="37" applyNumberFormat="1" applyFont="1" applyBorder="1"/>
    <xf numFmtId="10" fontId="50" fillId="0" borderId="1" xfId="35" applyNumberFormat="1" applyFont="1" applyBorder="1"/>
    <xf numFmtId="44" fontId="50" fillId="0" borderId="1" xfId="33" applyFont="1" applyBorder="1"/>
    <xf numFmtId="0" fontId="23" fillId="0" borderId="1" xfId="0" applyFont="1" applyBorder="1" applyAlignment="1">
      <alignment horizontal="center" vertical="center"/>
    </xf>
    <xf numFmtId="0" fontId="28" fillId="18" borderId="4" xfId="1" applyFont="1" applyFill="1" applyBorder="1" applyAlignment="1">
      <alignment horizontal="center" vertical="center" wrapText="1"/>
    </xf>
    <xf numFmtId="0" fontId="28" fillId="18" borderId="6" xfId="1" applyFont="1" applyFill="1" applyBorder="1" applyAlignment="1">
      <alignment horizontal="center" vertical="center" wrapText="1"/>
    </xf>
    <xf numFmtId="0" fontId="35" fillId="18" borderId="11" xfId="0" applyFont="1" applyFill="1" applyBorder="1" applyAlignment="1">
      <alignment horizontal="center"/>
    </xf>
    <xf numFmtId="0" fontId="35" fillId="18" borderId="0" xfId="0" applyFont="1" applyFill="1" applyAlignment="1">
      <alignment horizontal="center"/>
    </xf>
    <xf numFmtId="0" fontId="28" fillId="18" borderId="1" xfId="1" applyFont="1" applyFill="1" applyBorder="1" applyAlignment="1">
      <alignment horizontal="center" vertical="center" wrapText="1"/>
    </xf>
    <xf numFmtId="0" fontId="0" fillId="0" borderId="0" xfId="0" applyAlignment="1">
      <alignment horizontal="center" vertical="top" wrapText="1"/>
    </xf>
    <xf numFmtId="0" fontId="28" fillId="18" borderId="8" xfId="1" applyFont="1" applyFill="1" applyBorder="1" applyAlignment="1">
      <alignment horizontal="center" vertical="center" wrapText="1"/>
    </xf>
    <xf numFmtId="0" fontId="28" fillId="18" borderId="9" xfId="1" applyFont="1" applyFill="1" applyBorder="1" applyAlignment="1">
      <alignment horizontal="center" vertical="center" wrapText="1"/>
    </xf>
    <xf numFmtId="0" fontId="23" fillId="0" borderId="1" xfId="0" applyFont="1" applyBorder="1" applyAlignment="1">
      <alignment horizontal="center" vertical="center" wrapText="1"/>
    </xf>
    <xf numFmtId="0" fontId="32"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43" fontId="2" fillId="9" borderId="4" xfId="34" applyFont="1" applyFill="1" applyBorder="1" applyAlignment="1">
      <alignment horizontal="center" vertical="center"/>
    </xf>
    <xf numFmtId="43" fontId="2" fillId="9" borderId="14" xfId="34" applyFont="1" applyFill="1" applyBorder="1" applyAlignment="1">
      <alignment horizontal="center" vertical="center"/>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44" fontId="38" fillId="0" borderId="0" xfId="33" applyFont="1" applyFill="1" applyBorder="1" applyAlignment="1">
      <alignment horizontal="center" vertical="center"/>
    </xf>
    <xf numFmtId="44" fontId="38" fillId="0" borderId="12" xfId="33" applyFont="1" applyFill="1" applyBorder="1" applyAlignment="1">
      <alignment horizontal="center" vertical="center"/>
    </xf>
    <xf numFmtId="44" fontId="22" fillId="5" borderId="1" xfId="1" applyNumberFormat="1" applyFont="1" applyFill="1" applyBorder="1" applyAlignment="1">
      <alignment horizontal="center"/>
    </xf>
    <xf numFmtId="9" fontId="38" fillId="0" borderId="0" xfId="35" applyFont="1" applyFill="1" applyBorder="1" applyAlignment="1">
      <alignment horizontal="center" vertical="center"/>
    </xf>
    <xf numFmtId="0" fontId="22" fillId="0" borderId="0" xfId="0" applyFont="1" applyAlignment="1">
      <alignment horizontal="center" vertical="center"/>
    </xf>
    <xf numFmtId="0" fontId="38" fillId="0" borderId="0" xfId="0" applyFont="1" applyAlignment="1">
      <alignment horizontal="center" vertical="center"/>
    </xf>
    <xf numFmtId="0" fontId="0" fillId="0" borderId="0" xfId="0" applyAlignment="1">
      <alignment horizontal="left" vertical="top" wrapText="1"/>
    </xf>
    <xf numFmtId="0" fontId="37" fillId="0" borderId="11" xfId="0" applyFont="1" applyBorder="1" applyAlignment="1">
      <alignment horizontal="center" vertical="center" wrapText="1"/>
    </xf>
    <xf numFmtId="0" fontId="37" fillId="0" borderId="11" xfId="0" applyFont="1" applyBorder="1" applyAlignment="1">
      <alignment horizontal="center" vertical="center"/>
    </xf>
    <xf numFmtId="9" fontId="37" fillId="0" borderId="0" xfId="35" applyFont="1" applyFill="1" applyBorder="1" applyAlignment="1">
      <alignment horizontal="center" vertical="center" wrapText="1"/>
    </xf>
    <xf numFmtId="0" fontId="44" fillId="0" borderId="0" xfId="0" applyFont="1" applyAlignment="1">
      <alignment horizontal="center" vertical="center"/>
    </xf>
    <xf numFmtId="44" fontId="45" fillId="0" borderId="0" xfId="33" applyFont="1" applyFill="1" applyBorder="1" applyAlignment="1">
      <alignment horizontal="center" vertical="center"/>
    </xf>
    <xf numFmtId="44" fontId="45" fillId="0" borderId="12" xfId="33" applyFont="1" applyFill="1" applyBorder="1" applyAlignment="1">
      <alignment horizontal="center" vertical="center"/>
    </xf>
    <xf numFmtId="0" fontId="39"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0" fontId="24" fillId="2" borderId="0" xfId="0" applyFont="1" applyFill="1" applyAlignment="1">
      <alignment horizontal="center"/>
    </xf>
    <xf numFmtId="0" fontId="34" fillId="0" borderId="8" xfId="37" applyFont="1" applyBorder="1" applyAlignment="1">
      <alignment horizontal="center" vertical="center" wrapText="1"/>
    </xf>
    <xf numFmtId="0" fontId="34" fillId="0" borderId="15" xfId="37" applyFont="1" applyBorder="1" applyAlignment="1">
      <alignment horizontal="center" vertical="center" wrapText="1"/>
    </xf>
    <xf numFmtId="0" fontId="34" fillId="0" borderId="10" xfId="37" applyFont="1" applyBorder="1" applyAlignment="1">
      <alignment horizontal="center" vertical="center" wrapText="1"/>
    </xf>
    <xf numFmtId="44" fontId="25" fillId="0" borderId="0" xfId="0" applyNumberFormat="1" applyFont="1" applyAlignment="1">
      <alignment horizontal="center" vertical="center"/>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2" borderId="0" xfId="35" applyFont="1" applyFill="1" applyBorder="1" applyAlignment="1">
      <alignment horizontal="center" vertical="center"/>
    </xf>
    <xf numFmtId="0" fontId="0" fillId="0" borderId="0" xfId="0" applyAlignment="1">
      <alignment horizontal="center"/>
    </xf>
    <xf numFmtId="0" fontId="36" fillId="18" borderId="0" xfId="0" applyFont="1" applyFill="1" applyAlignment="1">
      <alignment horizontal="center" vertical="center"/>
    </xf>
    <xf numFmtId="0" fontId="14" fillId="0" borderId="0" xfId="0" applyFont="1" applyAlignment="1">
      <alignment horizontal="center" vertical="center" wrapText="1"/>
    </xf>
    <xf numFmtId="0" fontId="36" fillId="18" borderId="0" xfId="0" applyFont="1" applyFill="1" applyAlignment="1">
      <alignment horizontal="center" vertical="center" wrapText="1"/>
    </xf>
    <xf numFmtId="44" fontId="39"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8" fillId="18" borderId="20"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9" fontId="14" fillId="2" borderId="16"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43" fillId="0" borderId="0" xfId="0" applyFont="1" applyAlignment="1">
      <alignment horizontal="center" vertical="center"/>
    </xf>
    <xf numFmtId="0" fontId="36" fillId="21" borderId="2"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6"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24" fillId="3" borderId="0" xfId="33" applyFont="1" applyFill="1" applyAlignment="1">
      <alignment horizontal="center" vertical="center"/>
    </xf>
    <xf numFmtId="44" fontId="1" fillId="9" borderId="0" xfId="33" applyFont="1" applyFill="1" applyAlignment="1">
      <alignment horizontal="left" vertical="center"/>
    </xf>
    <xf numFmtId="10" fontId="13" fillId="9" borderId="0" xfId="35" applyNumberFormat="1" applyFont="1" applyFill="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13" borderId="4" xfId="37" applyFont="1" applyFill="1" applyBorder="1" applyAlignment="1">
      <alignment horizontal="center" vertical="center"/>
    </xf>
    <xf numFmtId="0" fontId="4" fillId="13" borderId="6" xfId="37" applyFont="1" applyFill="1" applyBorder="1" applyAlignment="1">
      <alignment horizontal="center" vertical="center"/>
    </xf>
    <xf numFmtId="0" fontId="4" fillId="14" borderId="4" xfId="37" applyFont="1" applyFill="1" applyBorder="1" applyAlignment="1">
      <alignment horizontal="center" vertical="center"/>
    </xf>
    <xf numFmtId="0" fontId="4" fillId="14"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0" fontId="28" fillId="18" borderId="11" xfId="0" applyFont="1" applyFill="1" applyBorder="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6" fillId="2" borderId="14"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21">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
      <fill>
        <patternFill>
          <bgColor rgb="FFFFFF0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8</xdr:col>
      <xdr:colOff>752476</xdr:colOff>
      <xdr:row>8</xdr:row>
      <xdr:rowOff>47626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 y="161926"/>
          <a:ext cx="10801350" cy="1181100"/>
        </a:xfrm>
        <a:prstGeom prst="rect">
          <a:avLst/>
        </a:prstGeom>
      </xdr:spPr>
    </xdr:pic>
    <xdr:clientData/>
  </xdr:twoCellAnchor>
  <xdr:twoCellAnchor editAs="oneCell">
    <xdr:from>
      <xdr:col>0</xdr:col>
      <xdr:colOff>0</xdr:colOff>
      <xdr:row>7</xdr:row>
      <xdr:rowOff>95251</xdr:rowOff>
    </xdr:from>
    <xdr:to>
      <xdr:col>15</xdr:col>
      <xdr:colOff>26670</xdr:colOff>
      <xdr:row>14</xdr:row>
      <xdr:rowOff>142876</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1228726"/>
          <a:ext cx="12172950" cy="1181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0</xdr:col>
      <xdr:colOff>1</xdr:colOff>
      <xdr:row>0</xdr:row>
      <xdr:rowOff>0</xdr:rowOff>
    </xdr:from>
    <xdr:to>
      <xdr:col>9</xdr:col>
      <xdr:colOff>0</xdr:colOff>
      <xdr:row>7</xdr:row>
      <xdr:rowOff>9525</xdr:rowOff>
    </xdr:to>
    <xdr:pic>
      <xdr:nvPicPr>
        <xdr:cNvPr id="3" name="Picture 2">
          <a:extLst>
            <a:ext uri="{FF2B5EF4-FFF2-40B4-BE49-F238E27FC236}">
              <a16:creationId xmlns:a16="http://schemas.microsoft.com/office/drawing/2014/main" id="{17DA6813-D95B-C693-6431-706B911E9EBA}"/>
            </a:ext>
          </a:extLst>
        </xdr:cNvPr>
        <xdr:cNvPicPr>
          <a:picLocks noChangeAspect="1"/>
        </xdr:cNvPicPr>
      </xdr:nvPicPr>
      <xdr:blipFill>
        <a:blip xmlns:r="http://schemas.openxmlformats.org/officeDocument/2006/relationships" r:embed="rId2"/>
        <a:stretch>
          <a:fillRect/>
        </a:stretch>
      </xdr:blipFill>
      <xdr:spPr>
        <a:xfrm>
          <a:off x="1" y="0"/>
          <a:ext cx="11363324" cy="1400175"/>
        </a:xfrm>
        <a:prstGeom prst="rect">
          <a:avLst/>
        </a:prstGeom>
      </xdr:spPr>
    </xdr:pic>
    <xdr:clientData/>
  </xdr:twoCellAnchor>
  <xdr:twoCellAnchor editAs="oneCell">
    <xdr:from>
      <xdr:col>1</xdr:col>
      <xdr:colOff>133350</xdr:colOff>
      <xdr:row>7</xdr:row>
      <xdr:rowOff>219075</xdr:rowOff>
    </xdr:from>
    <xdr:to>
      <xdr:col>9</xdr:col>
      <xdr:colOff>0</xdr:colOff>
      <xdr:row>15</xdr:row>
      <xdr:rowOff>0</xdr:rowOff>
    </xdr:to>
    <xdr:pic>
      <xdr:nvPicPr>
        <xdr:cNvPr id="2" name="Picture 1">
          <a:extLst>
            <a:ext uri="{FF2B5EF4-FFF2-40B4-BE49-F238E27FC236}">
              <a16:creationId xmlns:a16="http://schemas.microsoft.com/office/drawing/2014/main" id="{9C1D73CF-630B-DA40-58DC-8C022635CD4C}"/>
            </a:ext>
          </a:extLst>
        </xdr:cNvPr>
        <xdr:cNvPicPr>
          <a:picLocks noChangeAspect="1"/>
        </xdr:cNvPicPr>
      </xdr:nvPicPr>
      <xdr:blipFill>
        <a:blip xmlns:r="http://schemas.openxmlformats.org/officeDocument/2006/relationships" r:embed="rId3"/>
        <a:stretch>
          <a:fillRect/>
        </a:stretch>
      </xdr:blipFill>
      <xdr:spPr>
        <a:xfrm>
          <a:off x="3219450" y="1609725"/>
          <a:ext cx="8143875" cy="1285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6</xdr:col>
      <xdr:colOff>9526</xdr:colOff>
      <xdr:row>9</xdr:row>
      <xdr:rowOff>123826</xdr:rowOff>
    </xdr:to>
    <xdr:pic>
      <xdr:nvPicPr>
        <xdr:cNvPr id="3" name="Picture 2">
          <a:extLst>
            <a:ext uri="{FF2B5EF4-FFF2-40B4-BE49-F238E27FC236}">
              <a16:creationId xmlns:a16="http://schemas.microsoft.com/office/drawing/2014/main" id="{A7B38B6F-6C87-412C-8566-F9D4068F55CB}"/>
            </a:ext>
          </a:extLst>
        </xdr:cNvPr>
        <xdr:cNvPicPr>
          <a:picLocks noChangeAspect="1"/>
        </xdr:cNvPicPr>
      </xdr:nvPicPr>
      <xdr:blipFill>
        <a:blip xmlns:r="http://schemas.openxmlformats.org/officeDocument/2006/relationships" r:embed="rId1"/>
        <a:stretch>
          <a:fillRect/>
        </a:stretch>
      </xdr:blipFill>
      <xdr:spPr>
        <a:xfrm>
          <a:off x="1" y="1"/>
          <a:ext cx="10591800" cy="1581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Encartis@%20fungici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94FFA-BBBE-4264-A188-406D042975FA}">
  <sheetPr codeName="Sheet8">
    <tabColor theme="4" tint="0.59999389629810485"/>
    <pageSetUpPr fitToPage="1"/>
  </sheetPr>
  <dimension ref="A16:S44"/>
  <sheetViews>
    <sheetView showGridLines="0" tabSelected="1" zoomScaleNormal="100" workbookViewId="0">
      <selection activeCell="D20" sqref="D20"/>
    </sheetView>
  </sheetViews>
  <sheetFormatPr defaultColWidth="12.42578125" defaultRowHeight="12.75" x14ac:dyDescent="0.2"/>
  <cols>
    <col min="1" max="1" width="22.7109375" customWidth="1"/>
    <col min="2" max="9" width="18.28515625" customWidth="1"/>
    <col min="10" max="10" width="13.28515625" bestFit="1" customWidth="1"/>
    <col min="11" max="11" width="11" hidden="1" customWidth="1"/>
    <col min="12" max="12" width="4.85546875" hidden="1" customWidth="1"/>
    <col min="13" max="13" width="8.5703125" hidden="1" customWidth="1"/>
    <col min="14" max="14" width="6.28515625" hidden="1" customWidth="1"/>
    <col min="15" max="15" width="8.42578125" hidden="1" customWidth="1"/>
  </cols>
  <sheetData>
    <row r="16" spans="1:1" x14ac:dyDescent="0.2">
      <c r="A16" s="51"/>
    </row>
    <row r="17" spans="1:19" ht="15" x14ac:dyDescent="0.25">
      <c r="A17" s="239" t="s">
        <v>186</v>
      </c>
      <c r="B17" s="240"/>
      <c r="C17" s="240"/>
      <c r="D17" s="240"/>
      <c r="E17" s="240"/>
      <c r="F17" s="240"/>
      <c r="G17" s="240"/>
      <c r="H17" s="240"/>
      <c r="I17" s="240"/>
      <c r="J17" s="240"/>
    </row>
    <row r="18" spans="1:19" x14ac:dyDescent="0.2">
      <c r="A18" s="237" t="s">
        <v>113</v>
      </c>
      <c r="B18" s="237" t="s">
        <v>41</v>
      </c>
      <c r="C18" s="237" t="s">
        <v>69</v>
      </c>
      <c r="D18" s="237" t="s">
        <v>77</v>
      </c>
      <c r="E18" s="237" t="s">
        <v>107</v>
      </c>
      <c r="F18" s="237" t="s">
        <v>112</v>
      </c>
      <c r="G18" s="243" t="s">
        <v>109</v>
      </c>
      <c r="H18" s="241" t="s">
        <v>111</v>
      </c>
      <c r="I18" s="241" t="s">
        <v>114</v>
      </c>
      <c r="J18" s="241" t="s">
        <v>209</v>
      </c>
    </row>
    <row r="19" spans="1:19" ht="23.25" customHeight="1" x14ac:dyDescent="0.2">
      <c r="A19" s="238"/>
      <c r="B19" s="238"/>
      <c r="C19" s="238"/>
      <c r="D19" s="238"/>
      <c r="E19" s="238"/>
      <c r="F19" s="238"/>
      <c r="G19" s="244"/>
      <c r="H19" s="241"/>
      <c r="I19" s="241"/>
      <c r="J19" s="241"/>
      <c r="K19" s="85" t="s">
        <v>102</v>
      </c>
      <c r="L19" s="85" t="s">
        <v>108</v>
      </c>
      <c r="M19" s="85" t="s">
        <v>110</v>
      </c>
      <c r="N19" s="85" t="s">
        <v>126</v>
      </c>
      <c r="P19" s="146"/>
    </row>
    <row r="20" spans="1:19" ht="14.1" customHeight="1" x14ac:dyDescent="0.2">
      <c r="A20" s="103" t="s">
        <v>137</v>
      </c>
      <c r="B20" s="86" t="str">
        <f>VLOOKUP(C20,'Article Reference'!$A$3:$C$17,3,FALSE)</f>
        <v>10 x 0.49 lb</v>
      </c>
      <c r="C20" s="85">
        <v>4059021463</v>
      </c>
      <c r="D20" s="94"/>
      <c r="E20" s="95">
        <v>0</v>
      </c>
      <c r="F20" s="145" t="s">
        <v>223</v>
      </c>
      <c r="G20" s="96">
        <v>0</v>
      </c>
      <c r="H20" s="87">
        <f t="shared" ref="H20:H32" si="0">IF(M20=0,0,(G20*E20)/M20)</f>
        <v>0</v>
      </c>
      <c r="I20" s="88">
        <f>IF(G20*E20=0,0,(ROUND(H20,2)*VLOOKUP(K20,'Step 2 - Order Planner'!$C$26:$D$70,2,FALSE))/(G20*E20))</f>
        <v>0</v>
      </c>
      <c r="J20" s="88">
        <f>IF(G20*E20=0,0,((VLOOKUP(K20,'Step 2 - Order Planner'!$C$26:$D$70,2,FALSE)*(1-'Step 2 - Order Planner'!$B$20))*ROUND(H20,2))/(G20*E20))</f>
        <v>0</v>
      </c>
      <c r="K20" s="20">
        <f t="shared" ref="K20:K32" si="1">C20</f>
        <v>4059021463</v>
      </c>
      <c r="L20" s="112">
        <v>7</v>
      </c>
      <c r="M20" s="84">
        <f>IF(L20=0,0,VLOOKUP(K20,'Coverage Reference'!$B$4:$H$21,L20,FALSE))</f>
        <v>10</v>
      </c>
      <c r="N20" s="92">
        <f>H20</f>
        <v>0</v>
      </c>
    </row>
    <row r="21" spans="1:19" ht="14.1" customHeight="1" x14ac:dyDescent="0.2">
      <c r="A21" s="103" t="s">
        <v>192</v>
      </c>
      <c r="B21" s="86" t="str">
        <f>VLOOKUP(C21,'Article Reference'!$A$3:$C$17,3,FALSE)</f>
        <v>2 x 2.5 gal</v>
      </c>
      <c r="C21" s="85">
        <v>4059014003</v>
      </c>
      <c r="D21" s="94"/>
      <c r="E21" s="95">
        <v>0</v>
      </c>
      <c r="F21" s="145" t="s">
        <v>203</v>
      </c>
      <c r="G21" s="96">
        <v>0</v>
      </c>
      <c r="H21" s="87">
        <f>IF(M21=0,0,(G21*E21)/M21)</f>
        <v>0</v>
      </c>
      <c r="I21" s="88">
        <f>IF(G21*E21=0,0,(ROUND(H21,2)*VLOOKUP(K21,'Step 2 - Order Planner'!$C$26:$D$70,2,FALSE))/(G21*E21))</f>
        <v>0</v>
      </c>
      <c r="J21" s="88">
        <f>IF(G21*E21=0,0,((VLOOKUP(K21,'Step 2 - Order Planner'!$C$26:$D$70,2,FALSE)*(1-'Step 2 - Order Planner'!$B$20))*ROUND(H21,2))/(G21*E21))</f>
        <v>0</v>
      </c>
      <c r="K21" s="20">
        <f t="shared" si="1"/>
        <v>4059014003</v>
      </c>
      <c r="L21" s="47">
        <f>IF(F21="130.5 fl oz",5,IF(F21="152.5 fl oz",6,IF(F21="174.0 fl oz",7,)))</f>
        <v>0</v>
      </c>
      <c r="M21" s="84">
        <f>IF(L21=0,0,VLOOKUP(K21,'Coverage Reference'!$B$4:$H$21,L21,FALSE))</f>
        <v>0</v>
      </c>
      <c r="N21" s="92">
        <f>H21</f>
        <v>0</v>
      </c>
    </row>
    <row r="22" spans="1:19" ht="14.1" customHeight="1" x14ac:dyDescent="0.2">
      <c r="A22" s="236" t="s">
        <v>167</v>
      </c>
      <c r="B22" s="86" t="str">
        <f>VLOOKUP(C22,'Article Reference'!$A$3:$C$17,3,FALSE)</f>
        <v>6 x 3 lb</v>
      </c>
      <c r="C22" s="85">
        <v>4059012350</v>
      </c>
      <c r="D22" s="94"/>
      <c r="E22" s="95">
        <v>0</v>
      </c>
      <c r="F22" s="145" t="s">
        <v>224</v>
      </c>
      <c r="G22" s="96">
        <v>0</v>
      </c>
      <c r="H22" s="87">
        <f t="shared" si="0"/>
        <v>0</v>
      </c>
      <c r="I22" s="88">
        <f>IF(G22*E22=0,0,(ROUND(H22,2)*VLOOKUP(K22,'Step 2 - Order Planner'!$C$26:$D$70,2,FALSE))/(G22*E22))</f>
        <v>0</v>
      </c>
      <c r="J22" s="88">
        <f>IF(G22*E22=0,0,((VLOOKUP(K22,'Step 2 - Order Planner'!$C$26:$D$70,2,FALSE)*(1-'Step 2 - Order Planner'!$B$20))*ROUND(H22,2))/(G22*E22))</f>
        <v>0</v>
      </c>
      <c r="K22" s="20">
        <f t="shared" si="1"/>
        <v>4059012350</v>
      </c>
      <c r="L22" s="112">
        <v>7</v>
      </c>
      <c r="M22" s="84">
        <f>IF(L22=0,0,VLOOKUP(K22,'Coverage Reference'!$B$4:$H$21,L22,FALSE))</f>
        <v>6</v>
      </c>
      <c r="N22" s="92">
        <f t="shared" ref="N22:N32" si="2">H22</f>
        <v>0</v>
      </c>
    </row>
    <row r="23" spans="1:19" ht="14.1" customHeight="1" x14ac:dyDescent="0.2">
      <c r="A23" s="236"/>
      <c r="B23" s="86" t="str">
        <f>VLOOKUP(C23,'Article Reference'!$A$3:$C$17,3,FALSE)</f>
        <v>1 x 36 lb</v>
      </c>
      <c r="C23" s="85">
        <v>4059012885</v>
      </c>
      <c r="D23" s="94"/>
      <c r="E23" s="95">
        <v>0</v>
      </c>
      <c r="F23" s="145" t="s">
        <v>224</v>
      </c>
      <c r="G23" s="96">
        <v>0</v>
      </c>
      <c r="H23" s="87">
        <f t="shared" si="0"/>
        <v>0</v>
      </c>
      <c r="I23" s="88">
        <f>IF(G23*E23=0,0,(ROUND(H23,2)*VLOOKUP(K23,'Step 2 - Order Planner'!$C$26:$D$70,2,FALSE))/(G23*E23))</f>
        <v>0</v>
      </c>
      <c r="J23" s="88">
        <f>IF(G23*E23=0,0,((VLOOKUP(K23,'Step 2 - Order Planner'!$C$26:$D$70,2,FALSE)*(1-'Step 2 - Order Planner'!$B$20))*ROUND(H23,2))/(G23*E23))</f>
        <v>0</v>
      </c>
      <c r="K23" s="20">
        <f t="shared" si="1"/>
        <v>4059012885</v>
      </c>
      <c r="L23" s="112">
        <v>7</v>
      </c>
      <c r="M23" s="84">
        <f>IF(L23=0,0,VLOOKUP(K23,'Coverage Reference'!$B$4:$H$21,L23,FALSE))</f>
        <v>12</v>
      </c>
      <c r="N23" s="92">
        <f t="shared" si="2"/>
        <v>0</v>
      </c>
      <c r="Q23" s="31"/>
      <c r="R23" s="31"/>
      <c r="S23" s="31"/>
    </row>
    <row r="24" spans="1:19" ht="13.5" customHeight="1" x14ac:dyDescent="0.2">
      <c r="A24" s="245" t="s">
        <v>168</v>
      </c>
      <c r="B24" s="86" t="str">
        <f>VLOOKUP(C24,'Article Reference'!$A$3:$C$17,3,FALSE)</f>
        <v>4 x 30.5 fl oz</v>
      </c>
      <c r="C24" s="85">
        <v>4059028038</v>
      </c>
      <c r="D24" s="94"/>
      <c r="E24" s="95">
        <v>0</v>
      </c>
      <c r="F24" s="145" t="s">
        <v>222</v>
      </c>
      <c r="G24" s="96">
        <v>0</v>
      </c>
      <c r="H24" s="87">
        <f t="shared" si="0"/>
        <v>0</v>
      </c>
      <c r="I24" s="88">
        <f>IF(G24*E24=0,0,(ROUND(H24,2)*VLOOKUP(K24,'Step 2 - Order Planner'!$C$26:$D$70,2,FALSE))/(G24*E24))</f>
        <v>0</v>
      </c>
      <c r="J24" s="88">
        <f>IF(G24*E24=0,0,((VLOOKUP(K24,'Step 2 - Order Planner'!$C$26:$D$70,2,FALSE)*(1-'Step 2 - Order Planner'!$B$20))*ROUND(H24,2))/(G24*E24))</f>
        <v>0</v>
      </c>
      <c r="K24" s="20">
        <f t="shared" si="1"/>
        <v>4059028038</v>
      </c>
      <c r="L24" s="112">
        <v>7</v>
      </c>
      <c r="M24" s="84">
        <f>IF(L24=0,0,VLOOKUP(K24,'Coverage Reference'!$B$4:$H$21,L24,FALSE))</f>
        <v>4</v>
      </c>
      <c r="N24" s="92">
        <f t="shared" si="2"/>
        <v>0</v>
      </c>
      <c r="O24" t="s">
        <v>43</v>
      </c>
      <c r="Q24" s="31"/>
      <c r="R24" s="31"/>
    </row>
    <row r="25" spans="1:19" ht="14.1" customHeight="1" x14ac:dyDescent="0.2">
      <c r="A25" s="245"/>
      <c r="B25" s="86" t="str">
        <f>VLOOKUP(C25,'Article Reference'!$A$3:$C$17,3,FALSE)</f>
        <v>2 x 2.5 gal</v>
      </c>
      <c r="C25" s="85">
        <v>4059028040</v>
      </c>
      <c r="D25" s="94"/>
      <c r="E25" s="95">
        <v>0</v>
      </c>
      <c r="F25" s="145" t="s">
        <v>222</v>
      </c>
      <c r="G25" s="96">
        <v>0</v>
      </c>
      <c r="H25" s="87">
        <f t="shared" si="0"/>
        <v>0</v>
      </c>
      <c r="I25" s="88">
        <f>IF(G25*E25=0,0,(ROUND(H25,2)*VLOOKUP(K25,'Step 2 - Order Planner'!$C$26:$D$70,2,FALSE))/(G25*E25))</f>
        <v>0</v>
      </c>
      <c r="J25" s="88">
        <f>IF(G25*E25=0,0,((VLOOKUP(K25,'Step 2 - Order Planner'!$C$26:$D$70,2,FALSE)*(1-'Step 2 - Order Planner'!$B$20))*ROUND(H25,2))/(G25*E25))</f>
        <v>0</v>
      </c>
      <c r="K25" s="20">
        <f t="shared" si="1"/>
        <v>4059028040</v>
      </c>
      <c r="L25" s="112">
        <v>7</v>
      </c>
      <c r="M25" s="84">
        <f>IF(L25=0,0,VLOOKUP(K25,'Coverage Reference'!$B$4:$H$21,L25,FALSE))</f>
        <v>21</v>
      </c>
      <c r="N25" s="92">
        <f t="shared" si="2"/>
        <v>0</v>
      </c>
      <c r="O25" t="s">
        <v>42</v>
      </c>
      <c r="Q25" s="31"/>
      <c r="R25" s="31"/>
      <c r="S25" s="31"/>
    </row>
    <row r="26" spans="1:19" ht="14.1" customHeight="1" x14ac:dyDescent="0.2">
      <c r="A26" s="103" t="s">
        <v>169</v>
      </c>
      <c r="B26" s="86" t="str">
        <f>VLOOKUP(C26,'Article Reference'!$A$3:$C$17,3,FALSE)</f>
        <v>4 x 21 oz</v>
      </c>
      <c r="C26" s="85">
        <v>4059027998</v>
      </c>
      <c r="D26" s="94"/>
      <c r="E26" s="95">
        <v>0</v>
      </c>
      <c r="F26" s="145" t="s">
        <v>225</v>
      </c>
      <c r="G26" s="96">
        <v>0</v>
      </c>
      <c r="H26" s="87">
        <f t="shared" si="0"/>
        <v>0</v>
      </c>
      <c r="I26" s="88">
        <f>IF(G26*E26=0,0,(ROUND(H26,2)*VLOOKUP(K26,'Step 2 - Order Planner'!$C$26:$D$70,2,FALSE))/(G26*E26))</f>
        <v>0</v>
      </c>
      <c r="J26" s="88">
        <f>IF(G26*E26=0,0,((VLOOKUP(K26,'Step 2 - Order Planner'!$C$26:$D$70,2,FALSE)*(1-'Step 2 - Order Planner'!$B$20))*ROUND(H26,2))/(G26*E26))</f>
        <v>0</v>
      </c>
      <c r="K26" s="20">
        <f t="shared" si="1"/>
        <v>4059027998</v>
      </c>
      <c r="L26" s="112">
        <v>7</v>
      </c>
      <c r="M26" s="84">
        <f>IF(L26=0,0,VLOOKUP(K26,'Coverage Reference'!$B$4:$H$21,L26,FALSE))</f>
        <v>4</v>
      </c>
      <c r="N26" s="92">
        <f t="shared" si="2"/>
        <v>0</v>
      </c>
    </row>
    <row r="27" spans="1:19" ht="14.1" customHeight="1" x14ac:dyDescent="0.2">
      <c r="A27" s="236" t="s">
        <v>139</v>
      </c>
      <c r="B27" s="86" t="str">
        <f>VLOOKUP(C27,'Article Reference'!$A$3:$C$17,3,FALSE)</f>
        <v>4 x 26 oz</v>
      </c>
      <c r="C27" s="85">
        <v>4059018087</v>
      </c>
      <c r="D27" s="94"/>
      <c r="E27" s="95">
        <v>0</v>
      </c>
      <c r="F27" s="145" t="s">
        <v>203</v>
      </c>
      <c r="G27" s="96">
        <v>0</v>
      </c>
      <c r="H27" s="87">
        <f t="shared" si="0"/>
        <v>0</v>
      </c>
      <c r="I27" s="88">
        <f>IF(G27*E27=0,0,(ROUND(H27,2)*VLOOKUP(K27,'Step 2 - Order Planner'!$C$26:$D$70,2,FALSE))/(G27*E27))</f>
        <v>0</v>
      </c>
      <c r="J27" s="88">
        <f>IF(G27*E27=0,0,((VLOOKUP(K27,'Step 2 - Order Planner'!$C$26:$D$70,2,FALSE)*(1-'Step 2 - Order Planner'!$B$20))*ROUND(H27,2))/(G27*E27))</f>
        <v>0</v>
      </c>
      <c r="K27" s="20">
        <f t="shared" si="1"/>
        <v>4059018087</v>
      </c>
      <c r="L27" s="47">
        <f>IF(F27="8.7 oz",4,IF(F27="17.4 oz",5,IF(F27="26.1 oz",6,IF(F27="34.8 oz",7,0))))</f>
        <v>0</v>
      </c>
      <c r="M27" s="84">
        <f>IF(L27=0,0,VLOOKUP(K27,'Coverage Reference'!$B$4:$H$21,L27,FALSE))</f>
        <v>0</v>
      </c>
      <c r="N27" s="92">
        <f t="shared" si="2"/>
        <v>0</v>
      </c>
    </row>
    <row r="28" spans="1:19" ht="14.1" customHeight="1" x14ac:dyDescent="0.2">
      <c r="A28" s="236"/>
      <c r="B28" s="86" t="str">
        <f>VLOOKUP(C28,'Article Reference'!$A$3:$C$17,3,FALSE)</f>
        <v>2 x 2.5 gal</v>
      </c>
      <c r="C28" s="85">
        <v>4059018071</v>
      </c>
      <c r="D28" s="94"/>
      <c r="E28" s="95">
        <v>0</v>
      </c>
      <c r="F28" s="145" t="s">
        <v>203</v>
      </c>
      <c r="G28" s="96">
        <v>0</v>
      </c>
      <c r="H28" s="87">
        <f t="shared" si="0"/>
        <v>0</v>
      </c>
      <c r="I28" s="88">
        <f>IF(G28*E28=0,0,(ROUND(H28,2)*VLOOKUP(K28,'Step 2 - Order Planner'!$C$26:$D$70,2,FALSE))/(G28*E28))</f>
        <v>0</v>
      </c>
      <c r="J28" s="88">
        <f>IF(G28*E28=0,0,((VLOOKUP(K28,'Step 2 - Order Planner'!$C$26:$D$70,2,FALSE)*(1-'Step 2 - Order Planner'!$B$20))*ROUND(H28,2))/(G28*E28))</f>
        <v>0</v>
      </c>
      <c r="K28" s="20">
        <f t="shared" si="1"/>
        <v>4059018071</v>
      </c>
      <c r="L28" s="47">
        <f>IF(F28="8.7 oz",4,IF(F28="17.4 oz",5,IF(F28="26.1 oz",6,IF(F28="34.8 oz",7,0))))</f>
        <v>0</v>
      </c>
      <c r="M28" s="84">
        <f>IF(L28=0,0,VLOOKUP(K28,'Coverage Reference'!$B$4:$H$21,L28,FALSE))</f>
        <v>0</v>
      </c>
      <c r="N28" s="92">
        <f t="shared" si="2"/>
        <v>0</v>
      </c>
    </row>
    <row r="29" spans="1:19" ht="14.1" customHeight="1" x14ac:dyDescent="0.2">
      <c r="A29" s="236" t="s">
        <v>170</v>
      </c>
      <c r="B29" s="86" t="str">
        <f>VLOOKUP(C29,'Article Reference'!$A$3:$C$17,3,FALSE)</f>
        <v>4 x 37 fl oz</v>
      </c>
      <c r="C29" s="85">
        <v>4059018094</v>
      </c>
      <c r="D29" s="94"/>
      <c r="E29" s="95">
        <v>0</v>
      </c>
      <c r="F29" s="145" t="s">
        <v>226</v>
      </c>
      <c r="G29" s="96">
        <v>0</v>
      </c>
      <c r="H29" s="87">
        <f t="shared" si="0"/>
        <v>0</v>
      </c>
      <c r="I29" s="88">
        <f>IF(G29*E29=0,0,(ROUND(H29,2)*VLOOKUP(K29,'Step 2 - Order Planner'!$C$26:$D$70,2,FALSE))/(G29*E29))</f>
        <v>0</v>
      </c>
      <c r="J29" s="88">
        <f>IF(G29*E29=0,0,((VLOOKUP(K29,'Step 2 - Order Planner'!$C$26:$D$70,2,FALSE)*(1-'Step 2 - Order Planner'!$B$20))*ROUND(H29,2))/(G29*E29))</f>
        <v>0</v>
      </c>
      <c r="K29" s="20">
        <f t="shared" si="1"/>
        <v>4059018094</v>
      </c>
      <c r="L29" s="112">
        <v>7</v>
      </c>
      <c r="M29" s="84">
        <f>IF(L29=0,0,VLOOKUP(K29,'Coverage Reference'!$B$4:$H$21,L29,FALSE))</f>
        <v>4</v>
      </c>
      <c r="N29" s="92">
        <f t="shared" si="2"/>
        <v>0</v>
      </c>
    </row>
    <row r="30" spans="1:19" ht="14.1" customHeight="1" x14ac:dyDescent="0.2">
      <c r="A30" s="236"/>
      <c r="B30" s="86" t="str">
        <f>VLOOKUP(C30,'Article Reference'!$A$3:$C$17,3,FALSE)</f>
        <v>2 x 2.5 gal</v>
      </c>
      <c r="C30" s="85">
        <v>4059018095</v>
      </c>
      <c r="D30" s="94"/>
      <c r="E30" s="95">
        <v>0</v>
      </c>
      <c r="F30" s="145" t="s">
        <v>226</v>
      </c>
      <c r="G30" s="96">
        <v>0</v>
      </c>
      <c r="H30" s="87">
        <f t="shared" si="0"/>
        <v>0</v>
      </c>
      <c r="I30" s="88">
        <f>IF(G30*E30=0,0,(ROUND(H30,2)*VLOOKUP(K30,'Step 2 - Order Planner'!$C$26:$D$70,2,FALSE))/(G30*E30))</f>
        <v>0</v>
      </c>
      <c r="J30" s="88">
        <f>IF(G30*E30=0,0,((VLOOKUP(K30,'Step 2 - Order Planner'!$C$26:$D$70,2,FALSE)*(1-'Step 2 - Order Planner'!$B$20))*ROUND(H30,2))/(G30*E30))</f>
        <v>0</v>
      </c>
      <c r="K30" s="20">
        <f t="shared" si="1"/>
        <v>4059018095</v>
      </c>
      <c r="L30" s="112">
        <v>7</v>
      </c>
      <c r="M30" s="84">
        <f>IF(L30=0,0,VLOOKUP(K30,'Coverage Reference'!$B$4:$H$21,L30,FALSE))</f>
        <v>17</v>
      </c>
      <c r="N30" s="92">
        <f t="shared" si="2"/>
        <v>0</v>
      </c>
    </row>
    <row r="31" spans="1:19" ht="14.1" customHeight="1" x14ac:dyDescent="0.2">
      <c r="A31" s="236" t="s">
        <v>171</v>
      </c>
      <c r="B31" s="86" t="str">
        <f>VLOOKUP(C31,'Article Reference'!$A$3:$C$17,3,FALSE)</f>
        <v>4 x 11.4 oz</v>
      </c>
      <c r="C31" s="85">
        <v>4059014120</v>
      </c>
      <c r="D31" s="94"/>
      <c r="E31" s="95">
        <v>0</v>
      </c>
      <c r="F31" s="145" t="s">
        <v>203</v>
      </c>
      <c r="G31" s="96">
        <v>0</v>
      </c>
      <c r="H31" s="87">
        <f t="shared" si="0"/>
        <v>0</v>
      </c>
      <c r="I31" s="88">
        <f>IF(G31*E31=0,0,(ROUND(H31,2)*VLOOKUP(K31,'Step 2 - Order Planner'!$C$26:$D$70,2,FALSE))/(G31*E31))</f>
        <v>0</v>
      </c>
      <c r="J31" s="88">
        <f>IF(G31*E31=0,0,((VLOOKUP(K31,'Step 2 - Order Planner'!$C$26:$D$70,2,FALSE)*(1-'Step 2 - Order Planner'!$B$20))*ROUND(H31,2))/(G31*E31))</f>
        <v>0</v>
      </c>
      <c r="K31" s="20">
        <f t="shared" si="1"/>
        <v>4059014120</v>
      </c>
      <c r="L31" s="47">
        <f>IF(F31="7 oz",5,IF(F31="9.2 oz",6,IF(F31="11.4 oz",7,0)))</f>
        <v>0</v>
      </c>
      <c r="M31" s="84">
        <f>IF(L31=0,0,VLOOKUP(K31,'Coverage Reference'!$B$4:$H$21,L31,FALSE))</f>
        <v>0</v>
      </c>
      <c r="N31" s="92">
        <f t="shared" si="2"/>
        <v>0</v>
      </c>
    </row>
    <row r="32" spans="1:19" ht="14.1" customHeight="1" x14ac:dyDescent="0.2">
      <c r="A32" s="236"/>
      <c r="B32" s="86" t="str">
        <f>VLOOKUP(C32,'Article Reference'!$A$3:$C$17,3,FALSE)</f>
        <v>2 x 114 oz</v>
      </c>
      <c r="C32" s="85">
        <v>4059013833</v>
      </c>
      <c r="D32" s="94"/>
      <c r="E32" s="95">
        <v>0</v>
      </c>
      <c r="F32" s="145" t="s">
        <v>203</v>
      </c>
      <c r="G32" s="96">
        <v>0</v>
      </c>
      <c r="H32" s="87">
        <f t="shared" si="0"/>
        <v>0</v>
      </c>
      <c r="I32" s="88">
        <f>IF(G32*E32=0,0,(ROUND(H32,2)*VLOOKUP(K32,'Step 2 - Order Planner'!$C$26:$D$70,2,FALSE))/(G32*E32))</f>
        <v>0</v>
      </c>
      <c r="J32" s="88">
        <f>IF(G32*E32=0,0,((VLOOKUP(K32,'Step 2 - Order Planner'!$C$26:$D$70,2,FALSE)*(1-'Step 2 - Order Planner'!$B$20))*ROUND(H32,2))/(G32*E32))</f>
        <v>0</v>
      </c>
      <c r="K32" s="20">
        <f t="shared" si="1"/>
        <v>4059013833</v>
      </c>
      <c r="L32" s="47">
        <f>IF(F32="7 oz",5,IF(F32="9.2 oz",6,IF(F32="11.4 oz",7,0)))</f>
        <v>0</v>
      </c>
      <c r="M32" s="84">
        <f>IF(L32=0,0,VLOOKUP(K32,'Coverage Reference'!$B$4:$H$21,L32,FALSE))</f>
        <v>0</v>
      </c>
      <c r="N32" s="92">
        <f t="shared" si="2"/>
        <v>0</v>
      </c>
    </row>
    <row r="34" spans="1:10" ht="18.75" x14ac:dyDescent="0.2">
      <c r="A34" s="246" t="s">
        <v>213</v>
      </c>
      <c r="B34" s="246"/>
      <c r="C34" s="246"/>
      <c r="D34" s="246"/>
      <c r="E34" s="246"/>
      <c r="F34" s="246"/>
      <c r="G34" s="246"/>
      <c r="H34" s="246"/>
      <c r="I34" s="246"/>
      <c r="J34" s="246"/>
    </row>
    <row r="35" spans="1:10" ht="12.75" customHeight="1" x14ac:dyDescent="0.2">
      <c r="A35" s="242" t="s">
        <v>275</v>
      </c>
      <c r="B35" s="242"/>
      <c r="C35" s="242"/>
      <c r="D35" s="242"/>
      <c r="E35" s="242"/>
      <c r="F35" s="242"/>
      <c r="G35" s="242"/>
      <c r="H35" s="242"/>
      <c r="I35" s="242"/>
      <c r="J35" s="242"/>
    </row>
    <row r="36" spans="1:10" x14ac:dyDescent="0.2">
      <c r="A36" s="242"/>
      <c r="B36" s="242"/>
      <c r="C36" s="242"/>
      <c r="D36" s="242"/>
      <c r="E36" s="242"/>
      <c r="F36" s="242"/>
      <c r="G36" s="242"/>
      <c r="H36" s="242"/>
      <c r="I36" s="242"/>
      <c r="J36" s="242"/>
    </row>
    <row r="37" spans="1:10" x14ac:dyDescent="0.2">
      <c r="A37" s="242"/>
      <c r="B37" s="242"/>
      <c r="C37" s="242"/>
      <c r="D37" s="242"/>
      <c r="E37" s="242"/>
      <c r="F37" s="242"/>
      <c r="G37" s="242"/>
      <c r="H37" s="242"/>
      <c r="I37" s="242"/>
      <c r="J37" s="242"/>
    </row>
    <row r="38" spans="1:10" x14ac:dyDescent="0.2">
      <c r="A38" s="242"/>
      <c r="B38" s="242"/>
      <c r="C38" s="242"/>
      <c r="D38" s="242"/>
      <c r="E38" s="242"/>
      <c r="F38" s="242"/>
      <c r="G38" s="242"/>
      <c r="H38" s="242"/>
      <c r="I38" s="242"/>
      <c r="J38" s="242"/>
    </row>
    <row r="39" spans="1:10" x14ac:dyDescent="0.2">
      <c r="A39" s="242"/>
      <c r="B39" s="242"/>
      <c r="C39" s="242"/>
      <c r="D39" s="242"/>
      <c r="E39" s="242"/>
      <c r="F39" s="242"/>
      <c r="G39" s="242"/>
      <c r="H39" s="242"/>
      <c r="I39" s="242"/>
      <c r="J39" s="242"/>
    </row>
    <row r="40" spans="1:10" x14ac:dyDescent="0.2">
      <c r="A40" s="242"/>
      <c r="B40" s="242"/>
      <c r="C40" s="242"/>
      <c r="D40" s="242"/>
      <c r="E40" s="242"/>
      <c r="F40" s="242"/>
      <c r="G40" s="242"/>
      <c r="H40" s="242"/>
      <c r="I40" s="242"/>
      <c r="J40" s="242"/>
    </row>
    <row r="41" spans="1:10" x14ac:dyDescent="0.2">
      <c r="A41" s="242"/>
      <c r="B41" s="242"/>
      <c r="C41" s="242"/>
      <c r="D41" s="242"/>
      <c r="E41" s="242"/>
      <c r="F41" s="242"/>
      <c r="G41" s="242"/>
      <c r="H41" s="242"/>
      <c r="I41" s="242"/>
      <c r="J41" s="242"/>
    </row>
    <row r="42" spans="1:10" x14ac:dyDescent="0.2">
      <c r="A42" s="242"/>
      <c r="B42" s="242"/>
      <c r="C42" s="242"/>
      <c r="D42" s="242"/>
      <c r="E42" s="242"/>
      <c r="F42" s="242"/>
      <c r="G42" s="242"/>
      <c r="H42" s="242"/>
      <c r="I42" s="242"/>
      <c r="J42" s="242"/>
    </row>
    <row r="43" spans="1:10" x14ac:dyDescent="0.2">
      <c r="A43" s="242"/>
      <c r="B43" s="242"/>
      <c r="C43" s="242"/>
      <c r="D43" s="242"/>
      <c r="E43" s="242"/>
      <c r="F43" s="242"/>
      <c r="G43" s="242"/>
      <c r="H43" s="242"/>
      <c r="I43" s="242"/>
      <c r="J43" s="242"/>
    </row>
    <row r="44" spans="1:10" x14ac:dyDescent="0.2">
      <c r="A44" s="242"/>
      <c r="B44" s="242"/>
      <c r="C44" s="242"/>
      <c r="D44" s="242"/>
      <c r="E44" s="242"/>
      <c r="F44" s="242"/>
      <c r="G44" s="242"/>
      <c r="H44" s="242"/>
      <c r="I44" s="242"/>
      <c r="J44" s="242"/>
    </row>
  </sheetData>
  <sheetProtection algorithmName="SHA-512" hashValue="cpbu2oy907gucH2Vwsf5JnJT/WwpN+kpd6CI56u3xdH7aKOaLZ/5br+15BVqyA05goXdFISts7ueqUNeBYZ1GA==" saltValue="IgD9lWRUP9rCox1Q+GXzyQ==" spinCount="100000" sheet="1" objects="1" scenarios="1"/>
  <protectedRanges>
    <protectedRange sqref="E20:F32" name="Range2"/>
  </protectedRanges>
  <mergeCells count="18">
    <mergeCell ref="D18:D19"/>
    <mergeCell ref="A34:J34"/>
    <mergeCell ref="A27:A28"/>
    <mergeCell ref="C18:C19"/>
    <mergeCell ref="A17:J17"/>
    <mergeCell ref="J18:J19"/>
    <mergeCell ref="A35:J44"/>
    <mergeCell ref="I18:I19"/>
    <mergeCell ref="A31:A32"/>
    <mergeCell ref="G18:G19"/>
    <mergeCell ref="H18:H19"/>
    <mergeCell ref="A29:A30"/>
    <mergeCell ref="A18:A19"/>
    <mergeCell ref="B18:B19"/>
    <mergeCell ref="E18:E19"/>
    <mergeCell ref="F18:F19"/>
    <mergeCell ref="A22:A23"/>
    <mergeCell ref="A24:A25"/>
  </mergeCells>
  <conditionalFormatting sqref="F20:F32">
    <cfRule type="cellIs" dxfId="20" priority="1" operator="equal">
      <formula>"Select Rate"</formula>
    </cfRule>
  </conditionalFormatting>
  <dataValidations count="3">
    <dataValidation type="decimal" allowBlank="1" showInputMessage="1" showErrorMessage="1" errorTitle="Please Select" error="Please select a number of applications" sqref="G20:G32" xr:uid="{B595C0DC-2963-4184-83A8-05E232D9044A}">
      <formula1>0</formula1>
      <formula2>10000</formula2>
    </dataValidation>
    <dataValidation type="decimal" allowBlank="1" showInputMessage="1" showErrorMessage="1" errorTitle="Please Select" error="Please select a number of acres" sqref="E20:E32" xr:uid="{E2134AF8-4347-4EB4-8CD8-F91EA5908A70}">
      <formula1>0</formula1>
      <formula2>10000</formula2>
    </dataValidation>
    <dataValidation type="list" allowBlank="1" showInputMessage="1" showErrorMessage="1" sqref="D20:D32" xr:uid="{248EC4E1-1D33-4E91-92A0-30F89675046E}">
      <formula1>$O$24:$O$25</formula1>
    </dataValidation>
  </dataValidations>
  <pageMargins left="0.7" right="0.7" top="0.75" bottom="0.75" header="0.3" footer="0.3"/>
  <pageSetup scale="46" orientation="portrait" r:id="rId1"/>
  <headerFooter>
    <oddFooter>&amp;C_x000D_&amp;1#&amp;"Arial"&amp;10&amp;K000000 Internal</oddFooter>
  </headerFooter>
  <drawing r:id="rId2"/>
  <extLst>
    <ext xmlns:x14="http://schemas.microsoft.com/office/spreadsheetml/2009/9/main" uri="{CCE6A557-97BC-4b89-ADB6-D9C93CAAB3DF}">
      <x14:dataValidations xmlns:xm="http://schemas.microsoft.com/office/excel/2006/main" count="8">
        <x14:dataValidation type="list" allowBlank="1" showInputMessage="1" showErrorMessage="1" errorTitle="Please Select" error="Please select Low, Mid or High" xr:uid="{AC5F756C-E489-456C-B5B9-BF7B044439D6}">
          <x14:formula1>
            <xm:f>'Coverage Reference'!$B$35:$B$39</xm:f>
          </x14:formula1>
          <xm:sqref>F27:F28</xm:sqref>
        </x14:dataValidation>
        <x14:dataValidation type="list" allowBlank="1" showInputMessage="1" showErrorMessage="1" errorTitle="Please Select" error="Please select Low, Mid or High" xr:uid="{3703C5CF-7F16-4D4C-885D-5D3B55910F5B}">
          <x14:formula1>
            <xm:f>'Coverage Reference'!$B$34</xm:f>
          </x14:formula1>
          <xm:sqref>F29:F30</xm:sqref>
        </x14:dataValidation>
        <x14:dataValidation type="list" allowBlank="1" showInputMessage="1" showErrorMessage="1" errorTitle="Please Select" error="Please select Low, Mid or High" xr:uid="{85497C3A-557A-4C4B-A5D1-5DD5DA5F3990}">
          <x14:formula1>
            <xm:f>'Coverage Reference'!$B$26</xm:f>
          </x14:formula1>
          <xm:sqref>F20</xm:sqref>
        </x14:dataValidation>
        <x14:dataValidation type="list" allowBlank="1" showInputMessage="1" showErrorMessage="1" errorTitle="Please Select" error="Please select Low, Mid or High" xr:uid="{247C13FA-D9A3-49AA-A0FC-48004AC29D2F}">
          <x14:formula1>
            <xm:f>'Coverage Reference'!$B$31</xm:f>
          </x14:formula1>
          <xm:sqref>F22:F23</xm:sqref>
        </x14:dataValidation>
        <x14:dataValidation type="list" allowBlank="1" showInputMessage="1" showErrorMessage="1" errorTitle="Please Select" error="Please select Low, Mid or High" xr:uid="{2603EC71-965F-48DC-B36A-CB0E7F3AEE43}">
          <x14:formula1>
            <xm:f>'Coverage Reference'!$B$32</xm:f>
          </x14:formula1>
          <xm:sqref>F24:F25</xm:sqref>
        </x14:dataValidation>
        <x14:dataValidation type="list" allowBlank="1" showInputMessage="1" showErrorMessage="1" errorTitle="Please Select" error="Please select Low, Mid or High" xr:uid="{C809CCD4-ABA4-4D7C-BCE5-AA552B29BEED}">
          <x14:formula1>
            <xm:f>'Coverage Reference'!$B$33</xm:f>
          </x14:formula1>
          <xm:sqref>F26</xm:sqref>
        </x14:dataValidation>
        <x14:dataValidation type="list" allowBlank="1" showInputMessage="1" showErrorMessage="1" errorTitle="Please Select" error="Please select Low, Mid or High" xr:uid="{6378984A-89CA-4F71-B3A8-C16BF2B1D9E8}">
          <x14:formula1>
            <xm:f>'Coverage Reference'!$B$40:$B$43</xm:f>
          </x14:formula1>
          <xm:sqref>F31:F32</xm:sqref>
        </x14:dataValidation>
        <x14:dataValidation type="list" allowBlank="1" showInputMessage="1" showErrorMessage="1" errorTitle="Please Select" error="Please select Low, Mid or High" xr:uid="{A6EC2043-34EE-48E1-8785-CC681743EF8B}">
          <x14:formula1>
            <xm:f>'Coverage Reference'!$B$27:$B$30</xm:f>
          </x14:formula1>
          <xm:sqref>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3:Q86"/>
  <sheetViews>
    <sheetView showGridLines="0" zoomScaleNormal="100" workbookViewId="0">
      <selection activeCell="H23" sqref="H23:I23"/>
    </sheetView>
  </sheetViews>
  <sheetFormatPr defaultColWidth="8.85546875" defaultRowHeight="12.75" x14ac:dyDescent="0.2"/>
  <cols>
    <col min="1" max="1" width="46.28515625" customWidth="1"/>
    <col min="2" max="2" width="15.7109375" customWidth="1"/>
    <col min="3" max="3" width="14.5703125" customWidth="1"/>
    <col min="4" max="5" width="15.42578125" customWidth="1"/>
    <col min="6" max="9" width="15.7109375" customWidth="1"/>
    <col min="10" max="12" width="6.7109375" hidden="1" customWidth="1"/>
    <col min="13" max="13" width="9.7109375" hidden="1" customWidth="1"/>
    <col min="14" max="14" width="12.28515625" hidden="1" customWidth="1"/>
    <col min="15" max="15" width="2" customWidth="1"/>
    <col min="16" max="16" width="31.7109375" customWidth="1"/>
    <col min="17" max="17" width="15.140625" customWidth="1"/>
    <col min="18" max="18" width="12.85546875" bestFit="1" customWidth="1"/>
    <col min="19" max="19" width="11.140625" customWidth="1"/>
  </cols>
  <sheetData>
    <row r="3" spans="1:17" ht="15.75" customHeight="1" x14ac:dyDescent="0.2"/>
    <row r="5" spans="1:17" ht="14.25" customHeight="1" x14ac:dyDescent="0.2"/>
    <row r="6" spans="1:17" ht="16.149999999999999" customHeight="1" x14ac:dyDescent="0.2"/>
    <row r="7" spans="1:17" ht="25.5" customHeight="1" x14ac:dyDescent="0.2">
      <c r="A7" s="282"/>
      <c r="B7" s="282"/>
      <c r="C7" s="282"/>
      <c r="D7" s="282"/>
      <c r="E7" s="282"/>
      <c r="F7" s="282"/>
      <c r="G7" s="282"/>
      <c r="H7" s="282"/>
      <c r="I7" s="282"/>
    </row>
    <row r="8" spans="1:17" ht="18" customHeight="1" x14ac:dyDescent="0.25">
      <c r="A8" s="300"/>
      <c r="B8" s="300"/>
      <c r="C8" s="300"/>
      <c r="D8" s="300"/>
      <c r="E8" s="300"/>
      <c r="F8" s="300"/>
      <c r="G8" s="300"/>
      <c r="H8" s="300"/>
      <c r="I8" s="300"/>
    </row>
    <row r="9" spans="1:17" ht="18" x14ac:dyDescent="0.25">
      <c r="A9" s="274"/>
      <c r="B9" s="274"/>
      <c r="C9" s="274"/>
      <c r="D9" s="274"/>
      <c r="E9" s="274"/>
      <c r="F9" s="274"/>
      <c r="G9" s="274"/>
      <c r="H9" s="274"/>
      <c r="I9" s="274"/>
    </row>
    <row r="10" spans="1:17" ht="15.75" customHeight="1" x14ac:dyDescent="0.2"/>
    <row r="12" spans="1:17" x14ac:dyDescent="0.2">
      <c r="K12" s="55"/>
    </row>
    <row r="15" spans="1:17" ht="15.75" x14ac:dyDescent="0.2">
      <c r="P15" s="283" t="s">
        <v>218</v>
      </c>
      <c r="Q15" s="283"/>
    </row>
    <row r="16" spans="1:17" ht="16.5" customHeight="1" x14ac:dyDescent="0.2">
      <c r="A16" s="275" t="s">
        <v>73</v>
      </c>
      <c r="B16" s="276"/>
      <c r="C16" s="276"/>
      <c r="D16" s="276"/>
      <c r="E16" s="276"/>
      <c r="F16" s="276"/>
      <c r="G16" s="276"/>
      <c r="H16" s="276"/>
      <c r="I16" s="277"/>
      <c r="K16" s="55"/>
      <c r="P16" s="284" t="str">
        <f>IF('Range Reference'!S18=0,"Buy 3 fungicide brands to qualify",IF('Range Reference'!S18=1,"Buy 2 more fungicide brands to qualify",IF('Range Reference'!S18=2,"Buy 1 more fungicide brand to qualify","Qualified")))</f>
        <v>Buy 3 fungicide brands to qualify</v>
      </c>
      <c r="Q16" s="284"/>
    </row>
    <row r="17" spans="1:17" ht="16.5" customHeight="1" x14ac:dyDescent="0.25">
      <c r="A17" s="142" t="s">
        <v>216</v>
      </c>
      <c r="B17" s="278" t="str">
        <f>IF(AND(G41&gt;=3000,'Range Reference'!Q18&gt;=1),"October Rebate Locked",IF(AND(J41&gt;=3000,'Range Reference'!S18&gt;=1),"Nov-Dec Rebate Locked","Rebate Level Not Achieved"))</f>
        <v>Rebate Level Not Achieved</v>
      </c>
      <c r="C17" s="278"/>
      <c r="D17" s="260" t="s">
        <v>214</v>
      </c>
      <c r="E17" s="260"/>
      <c r="F17" s="260"/>
      <c r="G17" s="260"/>
      <c r="H17" s="272">
        <f>G41+I41</f>
        <v>0</v>
      </c>
      <c r="I17" s="273"/>
      <c r="K17" s="55"/>
      <c r="P17" s="284"/>
      <c r="Q17" s="284"/>
    </row>
    <row r="18" spans="1:17" ht="16.5" customHeight="1" x14ac:dyDescent="0.2">
      <c r="A18" s="263" t="s">
        <v>106</v>
      </c>
      <c r="B18" s="265" t="str">
        <f>IF(AND(H17&gt;=3000,'Range Reference'!S18&gt;=3),"Design Your Own Program Rebate","Need to buy "&amp;3-'Range Reference'!S18&amp;" More Brand(s)")</f>
        <v>Need to buy 3 More Brand(s)</v>
      </c>
      <c r="C18" s="265"/>
      <c r="D18" s="260" t="s">
        <v>211</v>
      </c>
      <c r="E18" s="260"/>
      <c r="F18" s="260"/>
      <c r="G18" s="260"/>
      <c r="H18" s="272">
        <f>IF(AND(B20=0,B21&gt;0),H17*B21,(B20*H17))</f>
        <v>0</v>
      </c>
      <c r="I18" s="273"/>
      <c r="P18" s="285" t="s">
        <v>217</v>
      </c>
      <c r="Q18" s="283" t="s">
        <v>185</v>
      </c>
    </row>
    <row r="19" spans="1:17" ht="16.5" customHeight="1" x14ac:dyDescent="0.2">
      <c r="A19" s="264"/>
      <c r="B19" s="265"/>
      <c r="C19" s="265"/>
      <c r="D19" s="260" t="s">
        <v>241</v>
      </c>
      <c r="E19" s="260"/>
      <c r="F19" s="260"/>
      <c r="G19" s="260"/>
      <c r="H19" s="272">
        <f>G72</f>
        <v>0</v>
      </c>
      <c r="I19" s="273"/>
      <c r="P19" s="285"/>
      <c r="Q19" s="283"/>
    </row>
    <row r="20" spans="1:17" ht="16.5" customHeight="1" x14ac:dyDescent="0.2">
      <c r="A20" s="143" t="s">
        <v>211</v>
      </c>
      <c r="B20" s="259">
        <f>IF(AND('Range Reference'!S18&lt;3,G41&gt;=3000),0.08,IF(AND('Range Reference'!S18&lt;3,I41&gt;=3000),0.03,'Range Reference'!G16))</f>
        <v>0</v>
      </c>
      <c r="C20" s="259"/>
      <c r="D20" s="260" t="s">
        <v>242</v>
      </c>
      <c r="E20" s="260"/>
      <c r="F20" s="260"/>
      <c r="G20" s="260"/>
      <c r="H20" s="272">
        <f>(H19*B21)</f>
        <v>0</v>
      </c>
      <c r="I20" s="273"/>
      <c r="P20" s="286" t="str">
        <f>IF(P16&lt;&gt;"Qualified","",HLOOKUP(H17,'Range Reference'!$H$10:$H$16,7,FALSE))</f>
        <v/>
      </c>
      <c r="Q20" s="287" t="str">
        <f>IF(ISNA(IF(P20=0,"Max",VLOOKUP(P20,'Range Reference'!H11:I15,2,FALSE)))=TRUE,"",IF(P20=0,"Max",VLOOKUP(P20,'Range Reference'!H11:I15,2,FALSE)))</f>
        <v/>
      </c>
    </row>
    <row r="21" spans="1:17" ht="16.5" customHeight="1" x14ac:dyDescent="0.2">
      <c r="A21" s="143" t="s">
        <v>212</v>
      </c>
      <c r="B21" s="259">
        <f>IF(AND('Range Reference'!S18&gt;=3,H17&gt;=20000),0.12,'Range Reference'!G6)</f>
        <v>0</v>
      </c>
      <c r="C21" s="259"/>
      <c r="D21" s="261" t="s">
        <v>74</v>
      </c>
      <c r="E21" s="261"/>
      <c r="F21" s="261"/>
      <c r="G21" s="261"/>
      <c r="H21" s="256">
        <f>H17+H19</f>
        <v>0</v>
      </c>
      <c r="I21" s="257"/>
      <c r="P21" s="286"/>
      <c r="Q21" s="287"/>
    </row>
    <row r="22" spans="1:17" ht="22.5" customHeight="1" x14ac:dyDescent="0.2">
      <c r="A22" s="144" t="s">
        <v>283</v>
      </c>
      <c r="B22" s="256">
        <f>'Range Reference'!T22+'Range Reference'!T24+'Range Reference'!T25+'Range Reference'!T26</f>
        <v>0</v>
      </c>
      <c r="C22" s="256"/>
      <c r="D22" s="269" t="s">
        <v>249</v>
      </c>
      <c r="E22" s="269"/>
      <c r="F22" s="269"/>
      <c r="G22" s="269"/>
      <c r="H22" s="270">
        <f>IF(H21=0,0,H23/H21)</f>
        <v>0</v>
      </c>
      <c r="I22" s="271"/>
      <c r="P22" s="285" t="s">
        <v>264</v>
      </c>
      <c r="Q22" s="283" t="s">
        <v>185</v>
      </c>
    </row>
    <row r="23" spans="1:17" ht="22.5" customHeight="1" x14ac:dyDescent="0.2">
      <c r="A23" s="166"/>
      <c r="B23" s="256"/>
      <c r="C23" s="256"/>
      <c r="D23" s="266" t="s">
        <v>75</v>
      </c>
      <c r="E23" s="266"/>
      <c r="F23" s="266"/>
      <c r="G23" s="266"/>
      <c r="H23" s="267">
        <f>(H18+H20)+(B22+B23)</f>
        <v>0</v>
      </c>
      <c r="I23" s="268"/>
      <c r="P23" s="285"/>
      <c r="Q23" s="283"/>
    </row>
    <row r="24" spans="1:17" ht="3" customHeight="1" x14ac:dyDescent="0.2"/>
    <row r="25" spans="1:17" ht="33.75" customHeight="1" thickBot="1" x14ac:dyDescent="0.25">
      <c r="A25" s="134" t="s">
        <v>121</v>
      </c>
      <c r="B25" s="134" t="s">
        <v>0</v>
      </c>
      <c r="C25" s="134" t="s">
        <v>69</v>
      </c>
      <c r="D25" s="135" t="s">
        <v>76</v>
      </c>
      <c r="E25" s="135" t="s">
        <v>202</v>
      </c>
      <c r="F25" s="135" t="s">
        <v>49</v>
      </c>
      <c r="G25" s="135" t="s">
        <v>50</v>
      </c>
      <c r="H25" s="135" t="s">
        <v>47</v>
      </c>
      <c r="I25" s="135" t="s">
        <v>48</v>
      </c>
      <c r="J25" s="41" t="s">
        <v>31</v>
      </c>
      <c r="K25" s="41" t="s">
        <v>55</v>
      </c>
      <c r="L25" s="41" t="s">
        <v>32</v>
      </c>
      <c r="M25" s="41" t="s">
        <v>172</v>
      </c>
      <c r="N25" s="41" t="s">
        <v>173</v>
      </c>
      <c r="P25" s="164">
        <f>IF(Q20="Max",0,HLOOKUP(H19,'Range Reference'!$H$19:$H$23,5,FALSE))</f>
        <v>3000</v>
      </c>
      <c r="Q25" s="165">
        <f>IF(OR(P25=0,B21=0.12),"Max",VLOOKUP(P25,'Range Reference'!H20:I22,2,FALSE))</f>
        <v>0.04</v>
      </c>
    </row>
    <row r="26" spans="1:17" ht="12.75" customHeight="1" x14ac:dyDescent="0.2">
      <c r="A26" s="42" t="str">
        <f>VLOOKUP($C26,'Article Reference'!$A$3:$C$40,2,FALSE)</f>
        <v>Emerald® fungicide</v>
      </c>
      <c r="B26" s="43" t="str">
        <f>VLOOKUP($C26,'Article Reference'!$A$3:$C$40,3,FALSE)</f>
        <v>10 x 0.49 lb</v>
      </c>
      <c r="C26" s="85">
        <v>4059021463</v>
      </c>
      <c r="D26" s="44">
        <f>VLOOKUP($C26,'Article Reference'!$A$3:$D$17,4,FALSE)</f>
        <v>1299.5</v>
      </c>
      <c r="E26" s="91">
        <f>CEILING(ROUNDUP(IF(ISNA(VLOOKUP(C26,'Step 1 - Fungicide Planner'!$K$20:$N$32,4,FALSE))=TRUE,"",VLOOKUP(C26,'Step 1 - Fungicide Planner'!$K$20:$N$32,4,FALSE)),M28),N28)</f>
        <v>0</v>
      </c>
      <c r="F26" s="110">
        <v>0</v>
      </c>
      <c r="G26" s="45">
        <f t="shared" ref="G26:G37" si="0">D26*F26</f>
        <v>0</v>
      </c>
      <c r="H26" s="110">
        <v>0</v>
      </c>
      <c r="I26" s="45">
        <f t="shared" ref="I26:I37" si="1">H26*D26</f>
        <v>0</v>
      </c>
      <c r="J26" s="46" t="e">
        <f>IF(ISNA(VLOOKUP(#REF!,'Coverage Reference'!$B$4:$H$21,4,FALSE))=TRUE,0,VLOOKUP(#REF!,'Coverage Reference'!$B$4:$H$21,4,FALSE)*(#REF!+#REF!))</f>
        <v>#REF!</v>
      </c>
      <c r="K26" s="46" t="e">
        <f>IF(ISNA(VLOOKUP(#REF!,'Coverage Reference'!$B$4:$H$21,5,FALSE))=TRUE,0,VLOOKUP(#REF!,'Coverage Reference'!$B$4:$H$21,5,FALSE)*(#REF!+#REF!))</f>
        <v>#REF!</v>
      </c>
      <c r="L26" s="46" t="e">
        <f>IF(ISNA(VLOOKUP(#REF!,'Coverage Reference'!$B$4:$H$21,6,FALSE))=TRUE,0,VLOOKUP(#REF!,'Coverage Reference'!$B$4:$H$21,6,FALSE)*(#REF!+#REF!))</f>
        <v>#REF!</v>
      </c>
      <c r="M26" s="108">
        <v>2</v>
      </c>
      <c r="N26" s="108">
        <v>0.5</v>
      </c>
      <c r="P26" s="288" t="s">
        <v>290</v>
      </c>
      <c r="Q26" s="290" t="str">
        <f>IF(P29&gt;=2,"Achieved","Buy 2 or more kegs")</f>
        <v>Buy 2 or more kegs</v>
      </c>
    </row>
    <row r="27" spans="1:17" x14ac:dyDescent="0.2">
      <c r="A27" s="42" t="str">
        <f>VLOOKUP($C27,'Article Reference'!$A$3:$C$40,2,FALSE)</f>
        <v>Encartis® fungicide</v>
      </c>
      <c r="B27" s="43" t="str">
        <f>VLOOKUP($C27,'Article Reference'!$A$3:$C$40,3,FALSE)</f>
        <v>2 x 2.5 gal</v>
      </c>
      <c r="C27" s="85">
        <v>4059014003</v>
      </c>
      <c r="D27" s="44">
        <f>VLOOKUP($C27,'Article Reference'!$A$3:$D$17,4,FALSE)</f>
        <v>714</v>
      </c>
      <c r="E27" s="91">
        <f>CEILING(ROUNDUP(IF(ISNA(VLOOKUP(C27,'Step 1 - Fungicide Planner'!$K$20:$N$32,4,FALSE))=TRUE,"",VLOOKUP(C27,'Step 1 - Fungicide Planner'!$K$20:$N$32,4,FALSE)),M29),N29)</f>
        <v>0</v>
      </c>
      <c r="F27" s="110">
        <v>0</v>
      </c>
      <c r="G27" s="45">
        <f t="shared" si="0"/>
        <v>0</v>
      </c>
      <c r="H27" s="110">
        <v>0</v>
      </c>
      <c r="I27" s="45">
        <f t="shared" si="1"/>
        <v>0</v>
      </c>
      <c r="J27" s="46" t="e">
        <f>IF(ISNA(VLOOKUP(#REF!,'Coverage Reference'!$B$4:$H$21,4,FALSE))=TRUE,0,VLOOKUP(#REF!,'Coverage Reference'!$B$4:$H$21,4,FALSE)*(#REF!+#REF!))</f>
        <v>#REF!</v>
      </c>
      <c r="K27" s="46" t="e">
        <f>IF(ISNA(VLOOKUP(#REF!,'Coverage Reference'!$B$4:$H$21,5,FALSE))=TRUE,0,VLOOKUP(#REF!,'Coverage Reference'!$B$4:$H$21,5,FALSE)*(#REF!+#REF!))</f>
        <v>#REF!</v>
      </c>
      <c r="L27" s="46" t="e">
        <f>IF(ISNA(VLOOKUP(#REF!,'Coverage Reference'!$B$4:$H$21,6,FALSE))=TRUE,0,VLOOKUP(#REF!,'Coverage Reference'!$B$4:$H$21,6,FALSE)*(#REF!+#REF!))</f>
        <v>#REF!</v>
      </c>
      <c r="M27" s="108">
        <v>2</v>
      </c>
      <c r="N27" s="108">
        <v>0.25</v>
      </c>
      <c r="P27" s="289"/>
      <c r="Q27" s="291"/>
    </row>
    <row r="28" spans="1:17" ht="12.75" customHeight="1" thickBot="1" x14ac:dyDescent="0.25">
      <c r="A28" s="42" t="str">
        <f>VLOOKUP($C28,'Article Reference'!$A$3:$C$40,2,FALSE)</f>
        <v>Honor® Intrinsic® brand fungicide</v>
      </c>
      <c r="B28" s="43" t="str">
        <f>VLOOKUP($C28,'Article Reference'!$A$3:$C$40,3,FALSE)</f>
        <v>6 x 3 lb</v>
      </c>
      <c r="C28" s="85">
        <v>4059012350</v>
      </c>
      <c r="D28" s="44">
        <f>VLOOKUP($C28,'Article Reference'!$A$3:$D$17,4,FALSE)</f>
        <v>3745.44</v>
      </c>
      <c r="E28" s="91">
        <f>CEILING(ROUNDUP(IF(ISNA(VLOOKUP(C28,'Step 1 - Fungicide Planner'!$K$20:$N$32,4,FALSE))=TRUE,"",VLOOKUP(C28,'Step 1 - Fungicide Planner'!$K$20:$N$32,4,FALSE)),M30),N30)</f>
        <v>0</v>
      </c>
      <c r="F28" s="110">
        <v>0</v>
      </c>
      <c r="G28" s="45">
        <f t="shared" si="0"/>
        <v>0</v>
      </c>
      <c r="H28" s="110">
        <v>0</v>
      </c>
      <c r="I28" s="45">
        <f t="shared" si="1"/>
        <v>0</v>
      </c>
      <c r="J28" s="46">
        <f>IF(ISNA(VLOOKUP($C26,'Coverage Reference'!$B$4:$H$21,4,FALSE))=TRUE,0,VLOOKUP($C26,'Coverage Reference'!$B$4:$H$21,4,FALSE)*(F26+H26))</f>
        <v>0</v>
      </c>
      <c r="K28" s="46">
        <f>IF(ISNA(VLOOKUP($C26,'Coverage Reference'!$B$4:$H$21,5,FALSE))=TRUE,0,VLOOKUP($C26,'Coverage Reference'!$B$4:$H$21,5,FALSE)*(F26+H26))</f>
        <v>0</v>
      </c>
      <c r="L28" s="46">
        <f>IF(ISNA(VLOOKUP($C26,'Coverage Reference'!$B$4:$H$21,6,FALSE))=TRUE,0,VLOOKUP($C26,'Coverage Reference'!$B$4:$H$21,6,FALSE)*(F26+H26))</f>
        <v>0</v>
      </c>
      <c r="M28" s="108">
        <v>2</v>
      </c>
      <c r="N28" s="108">
        <v>1</v>
      </c>
      <c r="P28" s="289"/>
      <c r="Q28" s="292"/>
    </row>
    <row r="29" spans="1:17" ht="12.75" customHeight="1" x14ac:dyDescent="0.2">
      <c r="A29" s="42" t="str">
        <f>VLOOKUP($C29,'Article Reference'!$A$3:$C$40,2,FALSE)</f>
        <v>Honor® Intrinsic® brand fungicide</v>
      </c>
      <c r="B29" s="43" t="str">
        <f>VLOOKUP($C29,'Article Reference'!$A$3:$C$40,3,FALSE)</f>
        <v>1 x 36 lb</v>
      </c>
      <c r="C29" s="85">
        <v>4059012885</v>
      </c>
      <c r="D29" s="44">
        <f>VLOOKUP($C29,'Article Reference'!$A$3:$D$17,4,FALSE)</f>
        <v>5434.56</v>
      </c>
      <c r="E29" s="91">
        <f>CEILING(ROUNDUP(IF(ISNA(VLOOKUP(C29,'Step 1 - Fungicide Planner'!$K$20:$N$32,4,FALSE))=TRUE,"",VLOOKUP(C29,'Step 1 - Fungicide Planner'!$K$20:$N$32,4,FALSE)),M31),N31)</f>
        <v>0</v>
      </c>
      <c r="F29" s="110">
        <v>0</v>
      </c>
      <c r="G29" s="45">
        <f t="shared" si="0"/>
        <v>0</v>
      </c>
      <c r="H29" s="110">
        <v>0</v>
      </c>
      <c r="I29" s="45">
        <f t="shared" si="1"/>
        <v>0</v>
      </c>
      <c r="J29" s="46">
        <f>IF(ISNA(VLOOKUP($C27,'Coverage Reference'!$B$4:$H$21,4,FALSE))=TRUE,0,VLOOKUP($C27,'Coverage Reference'!$B$4:$H$21,4,FALSE)*(F27+H27))</f>
        <v>0</v>
      </c>
      <c r="K29" s="46">
        <f>IF(ISNA(VLOOKUP($C27,'Coverage Reference'!$B$4:$H$21,5,FALSE))=TRUE,0,VLOOKUP($C27,'Coverage Reference'!$B$4:$H$21,5,FALSE)*(F27+H27))</f>
        <v>0</v>
      </c>
      <c r="L29" s="46">
        <f>IF(ISNA(VLOOKUP($C27,'Coverage Reference'!$B$4:$H$21,6,FALSE))=TRUE,0,VLOOKUP($C27,'Coverage Reference'!$B$4:$H$21,6,FALSE)*(F27+H27))</f>
        <v>0</v>
      </c>
      <c r="M29" s="108">
        <v>2</v>
      </c>
      <c r="N29" s="108">
        <v>0.5</v>
      </c>
      <c r="P29" s="279">
        <f>'Range Reference'!P26</f>
        <v>0</v>
      </c>
      <c r="Q29" s="293">
        <f>IF(P29&gt;=2,0.04,0)</f>
        <v>0</v>
      </c>
    </row>
    <row r="30" spans="1:17" ht="15" customHeight="1" thickBot="1" x14ac:dyDescent="0.25">
      <c r="A30" s="42" t="str">
        <f>VLOOKUP($C30,'Article Reference'!$A$3:$C$40,2,FALSE)</f>
        <v>Insignia® SC Intrinsic® brand fungicide</v>
      </c>
      <c r="B30" s="43" t="str">
        <f>VLOOKUP($C30,'Article Reference'!$A$3:$C$40,3,FALSE)</f>
        <v>4 x 30.5 fl oz</v>
      </c>
      <c r="C30" s="85">
        <v>4059028038</v>
      </c>
      <c r="D30" s="44">
        <f>VLOOKUP($C30,'Article Reference'!$A$3:$D$17,4,FALSE)</f>
        <v>2426.6</v>
      </c>
      <c r="E30" s="91">
        <f>CEILING(ROUNDUP(IF(ISNA(VLOOKUP(C30,'Step 1 - Fungicide Planner'!$K$20:$N$32,4,FALSE))=TRUE,"",VLOOKUP(C30,'Step 1 - Fungicide Planner'!$K$20:$N$32,4,FALSE)),M32),N32)</f>
        <v>0</v>
      </c>
      <c r="F30" s="110">
        <v>0</v>
      </c>
      <c r="G30" s="45">
        <f t="shared" si="0"/>
        <v>0</v>
      </c>
      <c r="H30" s="110">
        <v>0</v>
      </c>
      <c r="I30" s="45">
        <f t="shared" si="1"/>
        <v>0</v>
      </c>
      <c r="J30" s="46">
        <f>IF(ISNA(VLOOKUP($C28,'Coverage Reference'!$B$4:$H$21,4,FALSE))=TRUE,0,VLOOKUP($C28,'Coverage Reference'!$B$4:$H$21,4,FALSE)*(F28+H28))</f>
        <v>0</v>
      </c>
      <c r="K30" s="46">
        <f>IF(ISNA(VLOOKUP($C28,'Coverage Reference'!$B$4:$H$21,5,FALSE))=TRUE,0,VLOOKUP($C28,'Coverage Reference'!$B$4:$H$21,5,FALSE)*(F28+H28))</f>
        <v>0</v>
      </c>
      <c r="L30" s="46">
        <f>IF(ISNA(VLOOKUP($C28,'Coverage Reference'!$B$4:$H$21,6,FALSE))=TRUE,0,VLOOKUP($C28,'Coverage Reference'!$B$4:$H$21,6,FALSE)*(F28+H28))</f>
        <v>0</v>
      </c>
      <c r="M30" s="108">
        <v>2</v>
      </c>
      <c r="N30" s="108">
        <f>1/6</f>
        <v>0.16666666666666666</v>
      </c>
      <c r="P30" s="280"/>
      <c r="Q30" s="281"/>
    </row>
    <row r="31" spans="1:17" x14ac:dyDescent="0.2">
      <c r="A31" s="42" t="str">
        <f>VLOOKUP($C31,'Article Reference'!$A$3:$C$40,2,FALSE)</f>
        <v>Insignia® SC Intrinsic® brand fungicide</v>
      </c>
      <c r="B31" s="43" t="str">
        <f>VLOOKUP($C31,'Article Reference'!$A$3:$C$40,3,FALSE)</f>
        <v>2 x 2.5 gal</v>
      </c>
      <c r="C31" s="85">
        <v>4059028040</v>
      </c>
      <c r="D31" s="44">
        <f>VLOOKUP($C31,'Article Reference'!$A$3:$D$17,4,FALSE)</f>
        <v>7894.8</v>
      </c>
      <c r="E31" s="91">
        <f>CEILING(ROUNDUP(IF(ISNA(VLOOKUP(C31,'Step 1 - Fungicide Planner'!$K$20:$N$32,4,FALSE))=TRUE,"",VLOOKUP(C31,'Step 1 - Fungicide Planner'!$K$20:$N$32,4,FALSE)),M33),N33)</f>
        <v>0</v>
      </c>
      <c r="F31" s="110">
        <v>0</v>
      </c>
      <c r="G31" s="45">
        <f t="shared" si="0"/>
        <v>0</v>
      </c>
      <c r="H31" s="110">
        <v>0</v>
      </c>
      <c r="I31" s="45">
        <f t="shared" si="1"/>
        <v>0</v>
      </c>
      <c r="J31" s="46">
        <f>IF(ISNA(VLOOKUP($C29,'Coverage Reference'!$B$4:$H$21,4,FALSE))=TRUE,0,VLOOKUP($C29,'Coverage Reference'!$B$4:$H$21,4,FALSE)*(F29+H29))</f>
        <v>0</v>
      </c>
      <c r="K31" s="46">
        <f>IF(ISNA(VLOOKUP($C29,'Coverage Reference'!$B$4:$H$21,5,FALSE))=TRUE,0,VLOOKUP($C29,'Coverage Reference'!$B$4:$H$21,5,FALSE)*(F29+H29))</f>
        <v>0</v>
      </c>
      <c r="L31" s="46">
        <f>IF(ISNA(VLOOKUP($C29,'Coverage Reference'!$B$4:$H$21,6,FALSE))=TRUE,0,VLOOKUP($C29,'Coverage Reference'!$B$4:$H$21,6,FALSE)*(F29+H29))</f>
        <v>0</v>
      </c>
      <c r="M31" s="108">
        <v>0</v>
      </c>
      <c r="N31" s="108">
        <v>1</v>
      </c>
      <c r="P31" s="288" t="s">
        <v>277</v>
      </c>
      <c r="Q31" s="290" t="str">
        <f>IF(P34&gt;=2,"Achieved","Buy 2 or more (2.5gal) bottles")</f>
        <v>Buy 2 or more (2.5gal) bottles</v>
      </c>
    </row>
    <row r="32" spans="1:17" x14ac:dyDescent="0.2">
      <c r="A32" s="42" t="str">
        <f>VLOOKUP($C32,'Article Reference'!$A$3:$C$40,2,FALSE)</f>
        <v>Lexicon® Intrinsic® brand fungicide</v>
      </c>
      <c r="B32" s="43" t="str">
        <f>VLOOKUP($C32,'Article Reference'!$A$3:$C$40,3,FALSE)</f>
        <v>4 x 21 oz</v>
      </c>
      <c r="C32" s="85">
        <v>4059027998</v>
      </c>
      <c r="D32" s="44">
        <f>VLOOKUP($C32,'Article Reference'!$A$3:$D$17,4,FALSE)</f>
        <v>2635.08</v>
      </c>
      <c r="E32" s="91">
        <f>CEILING(ROUNDUP(IF(ISNA(VLOOKUP(C32,'Step 1 - Fungicide Planner'!$K$20:$N$32,4,FALSE))=TRUE,"",VLOOKUP(C32,'Step 1 - Fungicide Planner'!$K$20:$N$32,4,FALSE)),M34),N34)</f>
        <v>0</v>
      </c>
      <c r="F32" s="110">
        <v>0</v>
      </c>
      <c r="G32" s="45">
        <f t="shared" si="0"/>
        <v>0</v>
      </c>
      <c r="H32" s="110">
        <v>0</v>
      </c>
      <c r="I32" s="45">
        <f t="shared" si="1"/>
        <v>0</v>
      </c>
      <c r="J32" s="46">
        <f>IF(ISNA(VLOOKUP($C30,'Coverage Reference'!$B$4:$H$21,4,FALSE))=TRUE,0,VLOOKUP($C30,'Coverage Reference'!$B$4:$H$21,4,FALSE)*(F30+H30))</f>
        <v>0</v>
      </c>
      <c r="K32" s="46">
        <f>IF(ISNA(VLOOKUP($C30,'Coverage Reference'!$B$4:$H$21,5,FALSE))=TRUE,0,VLOOKUP($C30,'Coverage Reference'!$B$4:$H$21,5,FALSE)*(F30+H30))</f>
        <v>0</v>
      </c>
      <c r="L32" s="46">
        <f>IF(ISNA(VLOOKUP($C30,'Coverage Reference'!$B$4:$H$21,6,FALSE))=TRUE,0,VLOOKUP($C30,'Coverage Reference'!$B$4:$H$21,6,FALSE)*(F30+H30))</f>
        <v>0</v>
      </c>
      <c r="M32" s="108">
        <v>2</v>
      </c>
      <c r="N32" s="108">
        <v>0.25</v>
      </c>
      <c r="P32" s="289"/>
      <c r="Q32" s="291"/>
    </row>
    <row r="33" spans="1:17" ht="13.5" thickBot="1" x14ac:dyDescent="0.25">
      <c r="A33" s="42" t="str">
        <f>VLOOKUP($C33,'Article Reference'!$A$3:$C$40,2,FALSE)</f>
        <v>Maxtima® fungicide</v>
      </c>
      <c r="B33" s="43" t="str">
        <f>VLOOKUP($C33,'Article Reference'!$A$3:$C$40,3,FALSE)</f>
        <v>4 x 26 oz</v>
      </c>
      <c r="C33" s="85">
        <v>4059018087</v>
      </c>
      <c r="D33" s="44">
        <f>VLOOKUP($C33,'Article Reference'!$A$3:$D$17,4,FALSE)</f>
        <v>997.36</v>
      </c>
      <c r="E33" s="91">
        <f>CEILING(ROUNDUP(IF(ISNA(VLOOKUP(C33,'Step 1 - Fungicide Planner'!$K$20:$N$32,4,FALSE))=TRUE,"",VLOOKUP(C33,'Step 1 - Fungicide Planner'!$K$20:$N$32,4,FALSE)),M35),N35)</f>
        <v>0</v>
      </c>
      <c r="F33" s="110">
        <v>0</v>
      </c>
      <c r="G33" s="45">
        <f t="shared" si="0"/>
        <v>0</v>
      </c>
      <c r="H33" s="110">
        <v>0</v>
      </c>
      <c r="I33" s="45">
        <f t="shared" si="1"/>
        <v>0</v>
      </c>
      <c r="J33" s="46">
        <f>IF(ISNA(VLOOKUP($C31,'Coverage Reference'!$B$4:$H$21,4,FALSE))=TRUE,0,VLOOKUP($C31,'Coverage Reference'!$B$4:$H$21,4,FALSE)*(F31+H31))</f>
        <v>0</v>
      </c>
      <c r="K33" s="46">
        <f>IF(ISNA(VLOOKUP($C31,'Coverage Reference'!$B$4:$H$21,5,FALSE))=TRUE,0,VLOOKUP($C31,'Coverage Reference'!$B$4:$H$21,5,FALSE)*(F31+H31))</f>
        <v>0</v>
      </c>
      <c r="L33" s="46">
        <f>IF(ISNA(VLOOKUP($C31,'Coverage Reference'!$B$4:$H$21,6,FALSE))=TRUE,0,VLOOKUP($C31,'Coverage Reference'!$B$4:$H$21,6,FALSE)*(F31+H31))</f>
        <v>0</v>
      </c>
      <c r="M33" s="108">
        <v>2</v>
      </c>
      <c r="N33" s="108">
        <v>0.5</v>
      </c>
      <c r="P33" s="289"/>
      <c r="Q33" s="292"/>
    </row>
    <row r="34" spans="1:17" ht="12.75" customHeight="1" x14ac:dyDescent="0.2">
      <c r="A34" s="42" t="str">
        <f>VLOOKUP($C34,'Article Reference'!$A$3:$C$40,2,FALSE)</f>
        <v>Maxtima® fungicide</v>
      </c>
      <c r="B34" s="43" t="str">
        <f>VLOOKUP($C34,'Article Reference'!$A$3:$C$40,3,FALSE)</f>
        <v>2 x 2.5 gal</v>
      </c>
      <c r="C34" s="85">
        <v>4059018071</v>
      </c>
      <c r="D34" s="44">
        <f>VLOOKUP($C34,'Article Reference'!$A$3:$D$17,4,FALSE)</f>
        <v>4896</v>
      </c>
      <c r="E34" s="91">
        <f>CEILING(ROUNDUP(IF(ISNA(VLOOKUP(C34,'Step 1 - Fungicide Planner'!$K$20:$N$32,4,FALSE))=TRUE,"",VLOOKUP(C34,'Step 1 - Fungicide Planner'!$K$20:$N$32,4,FALSE)),M36),N36)</f>
        <v>0</v>
      </c>
      <c r="F34" s="110">
        <v>0</v>
      </c>
      <c r="G34" s="45">
        <f t="shared" si="0"/>
        <v>0</v>
      </c>
      <c r="H34" s="110">
        <v>0</v>
      </c>
      <c r="I34" s="45">
        <f t="shared" si="1"/>
        <v>0</v>
      </c>
      <c r="J34" s="46">
        <f>IF(ISNA(VLOOKUP($C32,'Coverage Reference'!$B$4:$H$21,4,FALSE))=TRUE,0,VLOOKUP($C32,'Coverage Reference'!$B$4:$H$21,4,FALSE)*(F32+H32))</f>
        <v>0</v>
      </c>
      <c r="K34" s="46">
        <f>IF(ISNA(VLOOKUP($C32,'Coverage Reference'!$B$4:$H$21,5,FALSE))=TRUE,0,VLOOKUP($C32,'Coverage Reference'!$B$4:$H$21,5,FALSE)*(F32+H32))</f>
        <v>0</v>
      </c>
      <c r="L34" s="46">
        <f>IF(ISNA(VLOOKUP($C32,'Coverage Reference'!$B$4:$H$21,6,FALSE))=TRUE,0,VLOOKUP($C32,'Coverage Reference'!$B$4:$H$21,6,FALSE)*(F32+H32))</f>
        <v>0</v>
      </c>
      <c r="M34" s="108">
        <v>2</v>
      </c>
      <c r="N34" s="108">
        <v>0.25</v>
      </c>
      <c r="P34" s="279">
        <f>'Range Reference'!P24</f>
        <v>0</v>
      </c>
      <c r="Q34" s="293">
        <f>IF(P34&gt;=2,0.04,0)</f>
        <v>0</v>
      </c>
    </row>
    <row r="35" spans="1:17" ht="12.75" customHeight="1" thickBot="1" x14ac:dyDescent="0.25">
      <c r="A35" s="42" t="str">
        <f>VLOOKUP($C35,'Article Reference'!$A$3:$C$40,2,FALSE)</f>
        <v>Navicon® Intrinsic® brand fungicide</v>
      </c>
      <c r="B35" s="43" t="str">
        <f>VLOOKUP($C35,'Article Reference'!$A$3:$C$40,3,FALSE)</f>
        <v>4 x 37 fl oz</v>
      </c>
      <c r="C35" s="85">
        <v>4059018094</v>
      </c>
      <c r="D35" s="44">
        <f>VLOOKUP($C35,'Article Reference'!$A$3:$D$17,4,FALSE)</f>
        <v>2415.36</v>
      </c>
      <c r="E35" s="91">
        <f>CEILING(ROUNDUP(IF(ISNA(VLOOKUP(C35,'Step 1 - Fungicide Planner'!$K$20:$N$32,4,FALSE))=TRUE,"",VLOOKUP(C35,'Step 1 - Fungicide Planner'!$K$20:$N$32,4,FALSE)),M37),N37)</f>
        <v>0</v>
      </c>
      <c r="F35" s="110">
        <v>0</v>
      </c>
      <c r="G35" s="45">
        <f t="shared" si="0"/>
        <v>0</v>
      </c>
      <c r="H35" s="110">
        <v>0</v>
      </c>
      <c r="I35" s="45">
        <f t="shared" si="1"/>
        <v>0</v>
      </c>
      <c r="J35" s="46">
        <f>IF(ISNA(VLOOKUP($C33,'Coverage Reference'!$B$4:$H$21,4,FALSE))=TRUE,0,VLOOKUP($C33,'Coverage Reference'!$B$4:$H$21,4,FALSE)*(F33+H33))</f>
        <v>0</v>
      </c>
      <c r="K35" s="46">
        <f>IF(ISNA(VLOOKUP($C33,'Coverage Reference'!$B$4:$H$21,5,FALSE))=TRUE,0,VLOOKUP($C33,'Coverage Reference'!$B$4:$H$21,5,FALSE)*(F33+H33))</f>
        <v>0</v>
      </c>
      <c r="L35" s="46">
        <f>IF(ISNA(VLOOKUP($C33,'Coverage Reference'!$B$4:$H$21,6,FALSE))=TRUE,0,VLOOKUP($C33,'Coverage Reference'!$B$4:$H$21,6,FALSE)*(F33+H33))</f>
        <v>0</v>
      </c>
      <c r="M35" s="108">
        <v>2</v>
      </c>
      <c r="N35" s="108">
        <v>0.25</v>
      </c>
      <c r="P35" s="280"/>
      <c r="Q35" s="281"/>
    </row>
    <row r="36" spans="1:17" x14ac:dyDescent="0.2">
      <c r="A36" s="42" t="str">
        <f>VLOOKUP($C36,'Article Reference'!$A$3:$C$40,2,FALSE)</f>
        <v>Navicon® Intrinsic® brand fungicide</v>
      </c>
      <c r="B36" s="43" t="str">
        <f>VLOOKUP($C36,'Article Reference'!$A$3:$C$40,3,FALSE)</f>
        <v>2 x 2.5 gal</v>
      </c>
      <c r="C36" s="85">
        <v>4059018095</v>
      </c>
      <c r="D36" s="44">
        <f>VLOOKUP($C36,'Article Reference'!$A$3:$D$17,4,FALSE)</f>
        <v>7650</v>
      </c>
      <c r="E36" s="91">
        <f>CEILING(ROUNDUP(IF(ISNA(VLOOKUP(C36,'Step 1 - Fungicide Planner'!$K$20:$N$32,4,FALSE))=TRUE,"",VLOOKUP(C36,'Step 1 - Fungicide Planner'!$K$20:$N$32,4,FALSE)),M38),N38)</f>
        <v>0</v>
      </c>
      <c r="F36" s="110">
        <v>0</v>
      </c>
      <c r="G36" s="45">
        <f t="shared" si="0"/>
        <v>0</v>
      </c>
      <c r="H36" s="110">
        <v>0</v>
      </c>
      <c r="I36" s="45">
        <f t="shared" si="1"/>
        <v>0</v>
      </c>
      <c r="J36" s="46">
        <f>IF(ISNA(VLOOKUP($C34,'Coverage Reference'!$B$4:$H$21,4,FALSE))=TRUE,0,VLOOKUP($C34,'Coverage Reference'!$B$4:$H$21,4,FALSE)*(F34+H34))</f>
        <v>0</v>
      </c>
      <c r="K36" s="46">
        <f>IF(ISNA(VLOOKUP($C34,'Coverage Reference'!$B$4:$H$21,5,FALSE))=TRUE,0,VLOOKUP($C34,'Coverage Reference'!$B$4:$H$21,5,FALSE)*(F34+H34))</f>
        <v>0</v>
      </c>
      <c r="L36" s="46">
        <f>IF(ISNA(VLOOKUP($C34,'Coverage Reference'!$B$4:$H$21,6,FALSE))=TRUE,0,VLOOKUP($C34,'Coverage Reference'!$B$4:$H$21,6,FALSE)*(F34+H34))</f>
        <v>0</v>
      </c>
      <c r="M36" s="108">
        <v>2</v>
      </c>
      <c r="N36" s="108">
        <v>0.5</v>
      </c>
      <c r="P36" s="288" t="s">
        <v>278</v>
      </c>
      <c r="Q36" s="290" t="str">
        <f>IF(P39&gt;=3,"Achieved","Buy 3 or more (2.5 gal) bottles")</f>
        <v>Buy 3 or more (2.5 gal) bottles</v>
      </c>
    </row>
    <row r="37" spans="1:17" x14ac:dyDescent="0.2">
      <c r="A37" s="42" t="str">
        <f>VLOOKUP($C37,'Article Reference'!$A$3:$C$40,2,FALSE)</f>
        <v>Xzemplar® fungicide</v>
      </c>
      <c r="B37" s="43" t="str">
        <f>VLOOKUP($C37,'Article Reference'!$A$3:$C$40,3,FALSE)</f>
        <v>4 x 11.4 oz</v>
      </c>
      <c r="C37" s="85">
        <v>4059014120</v>
      </c>
      <c r="D37" s="44">
        <f>VLOOKUP($C37,'Article Reference'!$A$3:$D$17,4,FALSE)</f>
        <v>904.24</v>
      </c>
      <c r="E37" s="91">
        <f>CEILING(ROUNDUP(IF(ISNA(VLOOKUP(C37,'Step 1 - Fungicide Planner'!$K$20:$N$32,4,FALSE))=TRUE,"",VLOOKUP(C37,'Step 1 - Fungicide Planner'!$K$20:$N$32,4,FALSE)),M39),N39)</f>
        <v>0</v>
      </c>
      <c r="F37" s="110">
        <v>0</v>
      </c>
      <c r="G37" s="45">
        <f t="shared" si="0"/>
        <v>0</v>
      </c>
      <c r="H37" s="110">
        <v>0</v>
      </c>
      <c r="I37" s="45">
        <f t="shared" si="1"/>
        <v>0</v>
      </c>
      <c r="J37" s="46">
        <f>IF(ISNA(VLOOKUP($C35,'Coverage Reference'!$B$4:$H$21,4,FALSE))=TRUE,0,VLOOKUP($C35,'Coverage Reference'!$B$4:$H$21,4,FALSE)*(F35+H35))</f>
        <v>0</v>
      </c>
      <c r="K37" s="46">
        <f>IF(ISNA(VLOOKUP($C35,'Coverage Reference'!$B$4:$H$21,5,FALSE))=TRUE,0,VLOOKUP($C35,'Coverage Reference'!$B$4:$H$21,5,FALSE)*(F35+H35))</f>
        <v>0</v>
      </c>
      <c r="L37" s="46">
        <f>IF(ISNA(VLOOKUP($C35,'Coverage Reference'!$B$4:$H$21,6,FALSE))=TRUE,0,VLOOKUP($C35,'Coverage Reference'!$B$4:$H$21,6,FALSE)*(F35+H35))</f>
        <v>0</v>
      </c>
      <c r="M37" s="108">
        <v>2</v>
      </c>
      <c r="N37" s="108">
        <v>0.25</v>
      </c>
      <c r="P37" s="289"/>
      <c r="Q37" s="291"/>
    </row>
    <row r="38" spans="1:17" ht="13.5" thickBot="1" x14ac:dyDescent="0.25">
      <c r="A38" s="192" t="str">
        <f>VLOOKUP($C38,'Article Reference'!$A$3:$C$40,2,FALSE)</f>
        <v>Xzemplar® fungicide</v>
      </c>
      <c r="B38" s="193" t="str">
        <f>VLOOKUP($C38,'Article Reference'!$A$3:$C$40,3,FALSE)</f>
        <v>2 x 114 oz</v>
      </c>
      <c r="C38" s="194">
        <v>4059013833</v>
      </c>
      <c r="D38" s="195">
        <f>VLOOKUP($C38,'Article Reference'!$A$3:$D$17,4,FALSE)</f>
        <v>3775.68</v>
      </c>
      <c r="E38" s="196">
        <f>CEILING(ROUNDUP(IF(ISNA(VLOOKUP(C38,'Step 1 - Fungicide Planner'!$K$20:$N$32,4,FALSE))=TRUE,"",VLOOKUP(C38,'Step 1 - Fungicide Planner'!$K$20:$N$32,4,FALSE)),M40),N40)</f>
        <v>0</v>
      </c>
      <c r="F38" s="110">
        <v>0</v>
      </c>
      <c r="G38" s="45">
        <f t="shared" ref="G38" si="2">D38*F38</f>
        <v>0</v>
      </c>
      <c r="H38" s="110">
        <v>0</v>
      </c>
      <c r="I38" s="45">
        <f t="shared" ref="I38" si="3">H38*D38</f>
        <v>0</v>
      </c>
      <c r="J38" s="46">
        <f>IF(ISNA(VLOOKUP($C36,'Coverage Reference'!$B$4:$H$21,4,FALSE))=TRUE,0,VLOOKUP($C36,'Coverage Reference'!$B$4:$H$21,4,FALSE)*(F36+H36))</f>
        <v>0</v>
      </c>
      <c r="K38" s="46">
        <f>IF(ISNA(VLOOKUP($C36,'Coverage Reference'!$B$4:$H$21,5,FALSE))=TRUE,0,VLOOKUP($C36,'Coverage Reference'!$B$4:$H$21,5,FALSE)*(F36+H36))</f>
        <v>0</v>
      </c>
      <c r="L38" s="46">
        <f>IF(ISNA(VLOOKUP($C36,'Coverage Reference'!$B$4:$H$21,6,FALSE))=TRUE,0,VLOOKUP($C36,'Coverage Reference'!$B$4:$H$21,6,FALSE)*(F36+H36))</f>
        <v>0</v>
      </c>
      <c r="M38" s="108">
        <v>2</v>
      </c>
      <c r="N38" s="108">
        <v>0.5</v>
      </c>
      <c r="P38" s="289"/>
      <c r="Q38" s="292"/>
    </row>
    <row r="39" spans="1:17" x14ac:dyDescent="0.2">
      <c r="J39" s="46">
        <f>IF(ISNA(VLOOKUP($C37,'Coverage Reference'!$B$4:$H$21,4,FALSE))=TRUE,0,VLOOKUP($C37,'Coverage Reference'!$B$4:$H$21,4,FALSE)*(F37+H37))</f>
        <v>0</v>
      </c>
      <c r="K39" s="46">
        <f>IF(ISNA(VLOOKUP($C37,'Coverage Reference'!$B$4:$H$21,5,FALSE))=TRUE,0,VLOOKUP($C37,'Coverage Reference'!$B$4:$H$21,5,FALSE)*(F37+H37))</f>
        <v>0</v>
      </c>
      <c r="L39" s="46">
        <f>IF(ISNA(VLOOKUP($C37,'Coverage Reference'!$B$4:$H$21,6,FALSE))=TRUE,0,VLOOKUP($C37,'Coverage Reference'!$B$4:$H$21,6,FALSE)*(F37+H37))</f>
        <v>0</v>
      </c>
      <c r="M39" s="108">
        <v>2</v>
      </c>
      <c r="N39" s="108">
        <v>0.5</v>
      </c>
      <c r="P39" s="279">
        <f>'Range Reference'!P25</f>
        <v>0</v>
      </c>
      <c r="Q39" s="293">
        <f>IF(P39&gt;=3,0.04,0)</f>
        <v>0</v>
      </c>
    </row>
    <row r="40" spans="1:17" x14ac:dyDescent="0.2">
      <c r="J40" s="46">
        <f>IF(ISNA(VLOOKUP($C38,'Coverage Reference'!$B$4:$H$21,4,FALSE))=TRUE,0,VLOOKUP($C38,'Coverage Reference'!$B$4:$H$21,4,FALSE)*(F38+H38))</f>
        <v>0</v>
      </c>
      <c r="K40" s="46">
        <f>IF(ISNA(VLOOKUP($C38,'Coverage Reference'!$B$4:$H$21,5,FALSE))=TRUE,0,VLOOKUP($C38,'Coverage Reference'!$B$4:$H$21,5,FALSE)*(F38+H38))</f>
        <v>0</v>
      </c>
      <c r="L40" s="46">
        <f>IF(ISNA(VLOOKUP($C38,'Coverage Reference'!$B$4:$H$21,6,FALSE))=TRUE,0,VLOOKUP($C38,'Coverage Reference'!$B$4:$H$21,6,FALSE)*(F38+H38))</f>
        <v>0</v>
      </c>
      <c r="M40" s="108">
        <v>2</v>
      </c>
      <c r="N40" s="108">
        <v>0.25</v>
      </c>
      <c r="P40" s="280"/>
      <c r="Q40" s="281"/>
    </row>
    <row r="41" spans="1:17" x14ac:dyDescent="0.2">
      <c r="A41" s="247" t="s">
        <v>127</v>
      </c>
      <c r="B41" s="247"/>
      <c r="C41" s="247"/>
      <c r="D41" s="247"/>
      <c r="E41" s="247"/>
      <c r="F41" s="104"/>
      <c r="G41" s="105">
        <f>SUM(G26:G38)</f>
        <v>0</v>
      </c>
      <c r="H41" s="106"/>
      <c r="I41" s="105">
        <f>SUM(I26:I38)</f>
        <v>0</v>
      </c>
      <c r="J41" s="258">
        <f>I41+G41</f>
        <v>0</v>
      </c>
      <c r="K41" s="258"/>
      <c r="L41" s="258"/>
    </row>
    <row r="42" spans="1:17" ht="25.5" x14ac:dyDescent="0.2">
      <c r="A42" s="136" t="s">
        <v>120</v>
      </c>
      <c r="B42" s="136" t="s">
        <v>0</v>
      </c>
      <c r="C42" s="136" t="s">
        <v>1</v>
      </c>
      <c r="D42" s="137" t="s">
        <v>76</v>
      </c>
      <c r="E42" s="249"/>
      <c r="F42" s="137" t="s">
        <v>119</v>
      </c>
      <c r="G42" s="137" t="s">
        <v>118</v>
      </c>
      <c r="H42" s="294"/>
      <c r="I42" s="295"/>
      <c r="J42" s="48" t="s">
        <v>31</v>
      </c>
      <c r="K42" s="48" t="s">
        <v>55</v>
      </c>
      <c r="L42" s="48" t="s">
        <v>32</v>
      </c>
    </row>
    <row r="43" spans="1:17" x14ac:dyDescent="0.2">
      <c r="A43" s="251" t="s">
        <v>197</v>
      </c>
      <c r="B43" s="252"/>
      <c r="C43" s="252"/>
      <c r="D43" s="253"/>
      <c r="E43" s="250"/>
      <c r="F43" s="254"/>
      <c r="G43" s="255"/>
      <c r="H43" s="296"/>
      <c r="I43" s="297"/>
      <c r="J43" s="48"/>
      <c r="K43" s="48"/>
      <c r="L43" s="48"/>
    </row>
    <row r="44" spans="1:17" x14ac:dyDescent="0.2">
      <c r="A44" s="42" t="str">
        <f>VLOOKUP($C44,'Article Reference'!$A$5:$D$53,2,FALSE)</f>
        <v>Amdro Pro Fire Ant Bait</v>
      </c>
      <c r="B44" s="43" t="str">
        <f>VLOOKUP($C44,'Article Reference'!$A$5:$D$53,3,FALSE)</f>
        <v>1 x 25lbs</v>
      </c>
      <c r="C44" s="85">
        <v>4059021451</v>
      </c>
      <c r="D44" s="44">
        <f>VLOOKUP($C44,'Article Reference'!$A$5:$D$53,4,FALSE)</f>
        <v>669.38</v>
      </c>
      <c r="E44" s="250"/>
      <c r="F44" s="110">
        <v>0</v>
      </c>
      <c r="G44" s="45">
        <f>F44*D44</f>
        <v>0</v>
      </c>
      <c r="H44" s="296"/>
      <c r="I44" s="297"/>
      <c r="J44" s="46">
        <f>IF(ISNA(VLOOKUP($C44,'Coverage Reference'!$B$6:$H$21,4,FALSE))=TRUE,0,VLOOKUP($C44,'Coverage Reference'!$B$6:$H$21,4,FALSE)*(F44+H44))</f>
        <v>0</v>
      </c>
      <c r="K44" s="46">
        <f>IF(ISNA(VLOOKUP($C44,'Coverage Reference'!$B$6:$H$21,5,FALSE))=TRUE,0,VLOOKUP($C44,'Coverage Reference'!$B$6:$H$21,5,FALSE)*(F44+H44))</f>
        <v>0</v>
      </c>
      <c r="L44" s="46">
        <f>IF(ISNA(VLOOKUP($C44,'Coverage Reference'!$B$6:$H$21,6,FALSE))=TRUE,0,VLOOKUP($C44,'Coverage Reference'!$B$6:$H$21,6,FALSE)*(F44+H44))</f>
        <v>0</v>
      </c>
      <c r="M44" s="109"/>
    </row>
    <row r="45" spans="1:17" x14ac:dyDescent="0.2">
      <c r="A45" s="42" t="str">
        <f>VLOOKUP($C45,'Article Reference'!$A$5:$D$53,2,FALSE)</f>
        <v>Sultan® miticide</v>
      </c>
      <c r="B45" s="43" t="str">
        <f>VLOOKUP($C45,'Article Reference'!$A$5:$D$53,3,FALSE)</f>
        <v>4 x 0.125 gal</v>
      </c>
      <c r="C45" s="85">
        <v>4059023753</v>
      </c>
      <c r="D45" s="44">
        <f>VLOOKUP($C45,'Article Reference'!$A$5:$D$53,4,FALSE)</f>
        <v>775.2</v>
      </c>
      <c r="E45" s="250"/>
      <c r="F45" s="110">
        <v>0</v>
      </c>
      <c r="G45" s="45">
        <f t="shared" ref="G45:G70" si="4">F45*D45</f>
        <v>0</v>
      </c>
      <c r="H45" s="296"/>
      <c r="I45" s="297"/>
      <c r="J45" s="46">
        <f>IF(ISNA(VLOOKUP($C45,'Coverage Reference'!$B$6:$H$21,4,FALSE))=TRUE,0,VLOOKUP($C45,'Coverage Reference'!$B$6:$H$21,4,FALSE)*(F45+H45))</f>
        <v>0</v>
      </c>
      <c r="K45" s="46">
        <f>IF(ISNA(VLOOKUP($C45,'Coverage Reference'!$B$6:$H$21,5,FALSE))=TRUE,0,VLOOKUP($C45,'Coverage Reference'!$B$6:$H$21,5,FALSE)*(F45+H45))</f>
        <v>0</v>
      </c>
      <c r="L45" s="46">
        <f>IF(ISNA(VLOOKUP($C45,'Coverage Reference'!$B$6:$H$21,6,FALSE))=TRUE,0,VLOOKUP($C45,'Coverage Reference'!$B$6:$H$21,6,FALSE)*(F45+H45))</f>
        <v>0</v>
      </c>
      <c r="M45" s="109"/>
    </row>
    <row r="46" spans="1:17" x14ac:dyDescent="0.2">
      <c r="A46" s="42" t="str">
        <f>VLOOKUP($C46,'Article Reference'!$A$5:$D$53,2,FALSE)</f>
        <v>Ventigra® insecticide</v>
      </c>
      <c r="B46" s="43" t="str">
        <f>VLOOKUP($C46,'Article Reference'!$A$5:$D$53,3,FALSE)</f>
        <v>4 x 20 oz</v>
      </c>
      <c r="C46" s="85">
        <v>4059014680</v>
      </c>
      <c r="D46" s="44">
        <f>VLOOKUP($C46,'Article Reference'!$A$5:$D$53,4,FALSE)</f>
        <v>1442.4</v>
      </c>
      <c r="E46" s="250"/>
      <c r="F46" s="110">
        <v>0</v>
      </c>
      <c r="G46" s="45">
        <f t="shared" si="4"/>
        <v>0</v>
      </c>
      <c r="H46" s="296"/>
      <c r="I46" s="297"/>
      <c r="J46" s="46">
        <f>IF(ISNA(VLOOKUP($C46,'Coverage Reference'!$B$6:$H$21,4,FALSE))=TRUE,0,VLOOKUP($C46,'Coverage Reference'!$B$6:$H$21,4,FALSE)*(F46+H46))</f>
        <v>0</v>
      </c>
      <c r="K46" s="46">
        <f>IF(ISNA(VLOOKUP($C46,'Coverage Reference'!$B$6:$H$21,5,FALSE))=TRUE,0,VLOOKUP($C46,'Coverage Reference'!$B$6:$H$21,5,FALSE)*(F46+H46))</f>
        <v>0</v>
      </c>
      <c r="L46" s="46">
        <f>IF(ISNA(VLOOKUP($C46,'Coverage Reference'!$B$6:$H$21,6,FALSE))=TRUE,0,VLOOKUP($C46,'Coverage Reference'!$B$6:$H$21,6,FALSE)*(F46+H46))</f>
        <v>0</v>
      </c>
      <c r="M46" s="109"/>
    </row>
    <row r="47" spans="1:17" x14ac:dyDescent="0.2">
      <c r="A47" s="251" t="s">
        <v>198</v>
      </c>
      <c r="B47" s="252"/>
      <c r="C47" s="252"/>
      <c r="D47" s="253"/>
      <c r="E47" s="250"/>
      <c r="F47" s="254"/>
      <c r="G47" s="255"/>
      <c r="H47" s="296"/>
      <c r="I47" s="297"/>
      <c r="J47" s="46"/>
      <c r="K47" s="46"/>
      <c r="L47" s="46"/>
      <c r="M47" s="109"/>
    </row>
    <row r="48" spans="1:17" x14ac:dyDescent="0.2">
      <c r="A48" s="42" t="str">
        <f>VLOOKUP($C48,'Article Reference'!$A$5:$D$53,2,FALSE)</f>
        <v>Orkestra® Intrinsic® brand Fungicide</v>
      </c>
      <c r="B48" s="43" t="str">
        <f>VLOOKUP($C48,'Article Reference'!$A$5:$D$53,3,FALSE)</f>
        <v>4 x 16 oz</v>
      </c>
      <c r="C48" s="85">
        <v>4059014379</v>
      </c>
      <c r="D48" s="44">
        <f>VLOOKUP($C48,'Article Reference'!$A$5:$D$53,4,FALSE)</f>
        <v>684.8</v>
      </c>
      <c r="E48" s="250"/>
      <c r="F48" s="110">
        <v>0</v>
      </c>
      <c r="G48" s="45">
        <f t="shared" si="4"/>
        <v>0</v>
      </c>
      <c r="H48" s="296"/>
      <c r="I48" s="297"/>
      <c r="J48" s="46">
        <f>IF(ISNA(VLOOKUP($C48,'Coverage Reference'!$B$6:$H$21,4,FALSE))=TRUE,0,VLOOKUP($C48,'Coverage Reference'!$B$6:$H$21,4,FALSE)*(F48+H48))</f>
        <v>0</v>
      </c>
      <c r="K48" s="46">
        <f>IF(ISNA(VLOOKUP($C48,'Coverage Reference'!$B$6:$H$21,5,FALSE))=TRUE,0,VLOOKUP($C48,'Coverage Reference'!$B$6:$H$21,5,FALSE)*(F48+H48))</f>
        <v>0</v>
      </c>
      <c r="L48" s="46">
        <f>IF(ISNA(VLOOKUP($C48,'Coverage Reference'!$B$6:$H$21,6,FALSE))=TRUE,0,VLOOKUP($C48,'Coverage Reference'!$B$6:$H$21,6,FALSE)*(F48+H48))</f>
        <v>0</v>
      </c>
      <c r="M48" s="109"/>
    </row>
    <row r="49" spans="1:17" x14ac:dyDescent="0.2">
      <c r="A49" s="42" t="str">
        <f>VLOOKUP($C49,'Article Reference'!$A$5:$D$53,2,FALSE)</f>
        <v>Pageant® Intrinsic® brand Fungicide</v>
      </c>
      <c r="B49" s="43" t="str">
        <f>VLOOKUP($C49,'Article Reference'!$A$5:$D$53,3,FALSE)</f>
        <v>4 x 1 lb</v>
      </c>
      <c r="C49" s="85">
        <v>4059012349</v>
      </c>
      <c r="D49" s="44">
        <f>VLOOKUP($C49,'Article Reference'!$A$5:$D$53,4,FALSE)</f>
        <v>483.28</v>
      </c>
      <c r="E49" s="250"/>
      <c r="F49" s="110">
        <v>0</v>
      </c>
      <c r="G49" s="45">
        <f t="shared" si="4"/>
        <v>0</v>
      </c>
      <c r="H49" s="296"/>
      <c r="I49" s="297"/>
      <c r="J49" s="46">
        <f>IF(ISNA(VLOOKUP($C49,'Coverage Reference'!$B$6:$H$21,4,FALSE))=TRUE,0,VLOOKUP($C49,'Coverage Reference'!$B$6:$H$21,4,FALSE)*(F49+H49))</f>
        <v>0</v>
      </c>
      <c r="K49" s="46">
        <f>IF(ISNA(VLOOKUP($C49,'Coverage Reference'!$B$6:$H$21,5,FALSE))=TRUE,0,VLOOKUP($C49,'Coverage Reference'!$B$6:$H$21,5,FALSE)*(F49+H49))</f>
        <v>0</v>
      </c>
      <c r="L49" s="46">
        <f>IF(ISNA(VLOOKUP($C49,'Coverage Reference'!$B$6:$H$21,6,FALSE))=TRUE,0,VLOOKUP($C49,'Coverage Reference'!$B$6:$H$21,6,FALSE)*(F49+H49))</f>
        <v>0</v>
      </c>
      <c r="M49" s="109"/>
    </row>
    <row r="50" spans="1:17" x14ac:dyDescent="0.2">
      <c r="A50" s="251" t="s">
        <v>199</v>
      </c>
      <c r="B50" s="252"/>
      <c r="C50" s="252"/>
      <c r="D50" s="253"/>
      <c r="E50" s="250"/>
      <c r="F50" s="254"/>
      <c r="G50" s="255"/>
      <c r="H50" s="296"/>
      <c r="I50" s="297"/>
      <c r="J50" s="46"/>
      <c r="K50" s="46"/>
      <c r="L50" s="46"/>
      <c r="M50" s="109"/>
    </row>
    <row r="51" spans="1:17" x14ac:dyDescent="0.2">
      <c r="A51" s="42" t="str">
        <f>VLOOKUP($C51,'Article Reference'!$A$5:$D$53,2,FALSE)</f>
        <v>Basagran® herbicide</v>
      </c>
      <c r="B51" s="43" t="str">
        <f>VLOOKUP($C51,'Article Reference'!$A$5:$D$53,3,FALSE)</f>
        <v>2 x 1 gal</v>
      </c>
      <c r="C51" s="85">
        <v>4059011636</v>
      </c>
      <c r="D51" s="44">
        <f>VLOOKUP($C51,'Article Reference'!$A$5:$D$53,4,FALSE)</f>
        <v>130.06</v>
      </c>
      <c r="E51" s="250"/>
      <c r="F51" s="110">
        <v>0</v>
      </c>
      <c r="G51" s="45">
        <f t="shared" si="4"/>
        <v>0</v>
      </c>
      <c r="H51" s="296"/>
      <c r="I51" s="297"/>
      <c r="J51" s="46">
        <f>IF(ISNA(VLOOKUP($C51,'Coverage Reference'!$B$6:$H$21,4,FALSE))=TRUE,0,VLOOKUP($C51,'Coverage Reference'!$B$6:$H$21,4,FALSE)*(F51+H51))</f>
        <v>0</v>
      </c>
      <c r="K51" s="46">
        <f>IF(ISNA(VLOOKUP($C51,'Coverage Reference'!$B$6:$H$21,5,FALSE))=TRUE,0,VLOOKUP($C51,'Coverage Reference'!$B$6:$H$21,5,FALSE)*(F51+H51))</f>
        <v>0</v>
      </c>
      <c r="L51" s="46">
        <f>IF(ISNA(VLOOKUP($C51,'Coverage Reference'!$B$6:$H$21,6,FALSE))=TRUE,0,VLOOKUP($C51,'Coverage Reference'!$B$6:$H$21,6,FALSE)*(F51+H51))</f>
        <v>0</v>
      </c>
      <c r="M51" s="109"/>
    </row>
    <row r="52" spans="1:17" x14ac:dyDescent="0.2">
      <c r="A52" s="42" t="str">
        <f>VLOOKUP($C52,'Article Reference'!$A$5:$D$53,2,FALSE)</f>
        <v>Drive® XLR8 herbicide</v>
      </c>
      <c r="B52" s="43" t="str">
        <f>VLOOKUP($C52,'Article Reference'!$A$5:$D$53,3,FALSE)</f>
        <v>4 x 0.5 gal</v>
      </c>
      <c r="C52" s="85">
        <v>4059030455</v>
      </c>
      <c r="D52" s="44">
        <f>VLOOKUP($C52,'Article Reference'!$A$5:$D$53,4,FALSE)</f>
        <v>232.72</v>
      </c>
      <c r="E52" s="250"/>
      <c r="F52" s="110">
        <v>0</v>
      </c>
      <c r="G52" s="45">
        <f t="shared" si="4"/>
        <v>0</v>
      </c>
      <c r="H52" s="296"/>
      <c r="I52" s="297"/>
      <c r="J52" s="46">
        <f>IF(ISNA(VLOOKUP($C52,'Coverage Reference'!$B$6:$H$21,4,FALSE))=TRUE,0,VLOOKUP($C52,'Coverage Reference'!$B$6:$H$21,4,FALSE)*(F52+H52))</f>
        <v>0</v>
      </c>
      <c r="K52" s="46">
        <f>IF(ISNA(VLOOKUP($C52,'Coverage Reference'!$B$6:$H$21,5,FALSE))=TRUE,0,VLOOKUP($C52,'Coverage Reference'!$B$6:$H$21,5,FALSE)*(F52+H52))</f>
        <v>0</v>
      </c>
      <c r="L52" s="46">
        <f>IF(ISNA(VLOOKUP($C52,'Coverage Reference'!$B$6:$H$21,6,FALSE))=TRUE,0,VLOOKUP($C52,'Coverage Reference'!$B$6:$H$21,6,FALSE)*(F52+H52))</f>
        <v>0</v>
      </c>
      <c r="M52" s="109"/>
    </row>
    <row r="53" spans="1:17" x14ac:dyDescent="0.2">
      <c r="A53" s="42" t="str">
        <f>VLOOKUP($C53,'Article Reference'!$A$5:$D$53,2,FALSE)</f>
        <v>Drive® XLR8 herbicide</v>
      </c>
      <c r="B53" s="43" t="str">
        <f>VLOOKUP($C53,'Article Reference'!$A$5:$D$53,3,FALSE)</f>
        <v>2 x 2.5 gal</v>
      </c>
      <c r="C53" s="85">
        <v>4059030454</v>
      </c>
      <c r="D53" s="44">
        <f>VLOOKUP($C53,'Article Reference'!$A$5:$D$53,4,FALSE)</f>
        <v>540.32000000000005</v>
      </c>
      <c r="E53" s="250"/>
      <c r="F53" s="110">
        <v>0</v>
      </c>
      <c r="G53" s="45">
        <f t="shared" ref="G53" si="5">F53*D53</f>
        <v>0</v>
      </c>
      <c r="H53" s="296"/>
      <c r="I53" s="297"/>
      <c r="J53" s="46"/>
      <c r="K53" s="46"/>
      <c r="L53" s="46"/>
      <c r="M53" s="109"/>
    </row>
    <row r="54" spans="1:17" x14ac:dyDescent="0.2">
      <c r="A54" s="42" t="str">
        <f>VLOOKUP($C54,'Article Reference'!$A$5:$D$53,2,FALSE)</f>
        <v>Pendulum® 2G herbicide</v>
      </c>
      <c r="B54" s="43" t="str">
        <f>VLOOKUP($C54,'Article Reference'!$A$5:$D$53,3,FALSE)</f>
        <v>20 lbs bag</v>
      </c>
      <c r="C54" s="85">
        <v>4059017972</v>
      </c>
      <c r="D54" s="44">
        <f>VLOOKUP($C54,'Article Reference'!$A$5:$D$53,4,FALSE)</f>
        <v>54.25</v>
      </c>
      <c r="E54" s="250"/>
      <c r="F54" s="110">
        <v>0</v>
      </c>
      <c r="G54" s="45">
        <f t="shared" si="4"/>
        <v>0</v>
      </c>
      <c r="H54" s="296"/>
      <c r="I54" s="297"/>
      <c r="J54" s="46">
        <f>IF(ISNA(VLOOKUP($C54,'Coverage Reference'!$B$6:$H$21,4,FALSE))=TRUE,0,VLOOKUP($C54,'Coverage Reference'!$B$6:$H$21,4,FALSE)*(F54+H54))</f>
        <v>0</v>
      </c>
      <c r="K54" s="46">
        <f>IF(ISNA(VLOOKUP($C54,'Coverage Reference'!$B$6:$H$21,5,FALSE))=TRUE,0,VLOOKUP($C54,'Coverage Reference'!$B$6:$H$21,5,FALSE)*(F54+H54))</f>
        <v>0</v>
      </c>
      <c r="L54" s="46">
        <f>IF(ISNA(VLOOKUP($C54,'Coverage Reference'!$B$6:$H$21,6,FALSE))=TRUE,0,VLOOKUP($C54,'Coverage Reference'!$B$6:$H$21,6,FALSE)*(F54+H54))</f>
        <v>0</v>
      </c>
      <c r="M54" s="109"/>
    </row>
    <row r="55" spans="1:17" x14ac:dyDescent="0.2">
      <c r="A55" s="42" t="str">
        <f>VLOOKUP($C55,'Article Reference'!$A$5:$D$53,2,FALSE)</f>
        <v>Pendulum® 2G herbicide</v>
      </c>
      <c r="B55" s="43" t="str">
        <f>VLOOKUP($C55,'Article Reference'!$A$5:$D$53,3,FALSE)</f>
        <v>40 lbs bag</v>
      </c>
      <c r="C55" s="85">
        <v>4059015072</v>
      </c>
      <c r="D55" s="44">
        <f>VLOOKUP($C55,'Article Reference'!$A$5:$D$53,4,FALSE)</f>
        <v>95.5</v>
      </c>
      <c r="E55" s="250"/>
      <c r="F55" s="110">
        <v>0</v>
      </c>
      <c r="G55" s="45">
        <f t="shared" si="4"/>
        <v>0</v>
      </c>
      <c r="H55" s="296"/>
      <c r="I55" s="297"/>
      <c r="J55" s="46">
        <f>IF(ISNA(VLOOKUP($C55,'Coverage Reference'!$B$6:$H$21,4,FALSE))=TRUE,0,VLOOKUP($C55,'Coverage Reference'!$B$6:$H$21,4,FALSE)*(F55+H55))</f>
        <v>0</v>
      </c>
      <c r="K55" s="46">
        <f>IF(ISNA(VLOOKUP($C55,'Coverage Reference'!$B$6:$H$21,5,FALSE))=TRUE,0,VLOOKUP($C55,'Coverage Reference'!$B$6:$H$21,5,FALSE)*(F55+H55))</f>
        <v>0</v>
      </c>
      <c r="L55" s="46">
        <f>IF(ISNA(VLOOKUP($C55,'Coverage Reference'!$B$6:$H$21,6,FALSE))=TRUE,0,VLOOKUP($C55,'Coverage Reference'!$B$6:$H$21,6,FALSE)*(F55+H55))</f>
        <v>0</v>
      </c>
      <c r="M55" s="109"/>
    </row>
    <row r="56" spans="1:17" x14ac:dyDescent="0.2">
      <c r="A56" s="42" t="str">
        <f>VLOOKUP($C56,'Article Reference'!$A$5:$D$53,2,FALSE)</f>
        <v>Pendulum® AquaCap herbicide</v>
      </c>
      <c r="B56" s="43" t="str">
        <f>VLOOKUP($C56,'Article Reference'!$A$5:$D$53,3,FALSE)</f>
        <v>2 x 2.5 gal</v>
      </c>
      <c r="C56" s="85">
        <v>4059049276</v>
      </c>
      <c r="D56" s="44">
        <f>VLOOKUP($C56,'Article Reference'!$A$5:$D$53,4,FALSE)</f>
        <v>299.62</v>
      </c>
      <c r="E56" s="250"/>
      <c r="F56" s="110">
        <v>0</v>
      </c>
      <c r="G56" s="45">
        <f t="shared" si="4"/>
        <v>0</v>
      </c>
      <c r="H56" s="296"/>
      <c r="I56" s="297"/>
      <c r="J56" s="46">
        <f>IF(ISNA(VLOOKUP($C56,'Coverage Reference'!$B$6:$H$21,4,FALSE))=TRUE,0,VLOOKUP($C56,'Coverage Reference'!$B$6:$H$21,4,FALSE)*(F56+H56))</f>
        <v>0</v>
      </c>
      <c r="K56" s="46">
        <f>IF(ISNA(VLOOKUP($C56,'Coverage Reference'!$B$6:$H$21,5,FALSE))=TRUE,0,VLOOKUP($C56,'Coverage Reference'!$B$6:$H$21,5,FALSE)*(F56+H56))</f>
        <v>0</v>
      </c>
      <c r="L56" s="46">
        <f>IF(ISNA(VLOOKUP($C56,'Coverage Reference'!$B$6:$H$21,6,FALSE))=TRUE,0,VLOOKUP($C56,'Coverage Reference'!$B$6:$H$21,6,FALSE)*(F56+H56))</f>
        <v>0</v>
      </c>
      <c r="M56" s="109"/>
    </row>
    <row r="57" spans="1:17" x14ac:dyDescent="0.2">
      <c r="A57" s="42" t="str">
        <f>VLOOKUP($C57,'Article Reference'!$A$5:$D$53,2,FALSE)</f>
        <v>Pendulum® AquaCap herbicide</v>
      </c>
      <c r="B57" s="43" t="str">
        <f>VLOOKUP($C57,'Article Reference'!$A$5:$D$53,3,FALSE)</f>
        <v>1 x 15 gal</v>
      </c>
      <c r="C57" s="85">
        <v>4059011279</v>
      </c>
      <c r="D57" s="44">
        <f>VLOOKUP($C57,'Article Reference'!$A$5:$D$53,4,FALSE)</f>
        <v>1071</v>
      </c>
      <c r="E57" s="250"/>
      <c r="F57" s="110">
        <v>0</v>
      </c>
      <c r="G57" s="45">
        <f t="shared" ref="G57" si="6">F57*D57</f>
        <v>0</v>
      </c>
      <c r="H57" s="296"/>
      <c r="I57" s="297"/>
      <c r="J57" s="46">
        <f>IF(ISNA(VLOOKUP($C57,'Coverage Reference'!$B$6:$H$21,4,FALSE))=TRUE,0,VLOOKUP($C57,'Coverage Reference'!$B$6:$H$21,4,FALSE)*(F57+H57))</f>
        <v>0</v>
      </c>
      <c r="K57" s="46">
        <f>IF(ISNA(VLOOKUP($C57,'Coverage Reference'!$B$6:$H$21,5,FALSE))=TRUE,0,VLOOKUP($C57,'Coverage Reference'!$B$6:$H$21,5,FALSE)*(F57+H57))</f>
        <v>0</v>
      </c>
      <c r="L57" s="46">
        <f>IF(ISNA(VLOOKUP($C57,'Coverage Reference'!$B$6:$H$21,6,FALSE))=TRUE,0,VLOOKUP($C57,'Coverage Reference'!$B$6:$H$21,6,FALSE)*(F57+H57))</f>
        <v>0</v>
      </c>
      <c r="M57" s="109"/>
    </row>
    <row r="58" spans="1:17" x14ac:dyDescent="0.2">
      <c r="A58" s="42" t="str">
        <f>VLOOKUP($C58,'Article Reference'!$A$5:$D$53,2,FALSE)</f>
        <v>Pylex® herbicide</v>
      </c>
      <c r="B58" s="43" t="str">
        <f>VLOOKUP($C58,'Article Reference'!$A$5:$D$53,3,FALSE)</f>
        <v>4 x 4 oz</v>
      </c>
      <c r="C58" s="85">
        <v>4059018005</v>
      </c>
      <c r="D58" s="44">
        <f>VLOOKUP($C58,'Article Reference'!$A$5:$D$53,4,FALSE)</f>
        <v>1697.28</v>
      </c>
      <c r="E58" s="250"/>
      <c r="F58" s="110">
        <v>0</v>
      </c>
      <c r="G58" s="45">
        <f t="shared" si="4"/>
        <v>0</v>
      </c>
      <c r="H58" s="296"/>
      <c r="I58" s="297"/>
      <c r="J58" s="46">
        <f>IF(ISNA(VLOOKUP($C58,'Coverage Reference'!$B$6:$H$21,4,FALSE))=TRUE,0,VLOOKUP($C58,'Coverage Reference'!$B$6:$H$21,4,FALSE)*(F58+H58))</f>
        <v>0</v>
      </c>
      <c r="K58" s="46">
        <f>IF(ISNA(VLOOKUP($C58,'Coverage Reference'!$B$6:$H$21,5,FALSE))=TRUE,0,VLOOKUP($C58,'Coverage Reference'!$B$6:$H$21,5,FALSE)*(F58+H58))</f>
        <v>0</v>
      </c>
      <c r="L58" s="46">
        <f>IF(ISNA(VLOOKUP($C58,'Coverage Reference'!$B$6:$H$21,6,FALSE))=TRUE,0,VLOOKUP($C58,'Coverage Reference'!$B$6:$H$21,6,FALSE)*(F58+H58))</f>
        <v>0</v>
      </c>
      <c r="M58" s="109"/>
    </row>
    <row r="59" spans="1:17" ht="12.75" customHeight="1" x14ac:dyDescent="0.2">
      <c r="A59" s="42" t="str">
        <f>VLOOKUP($C59,'Article Reference'!$A$5:$D$53,2,FALSE)</f>
        <v>Segment® II herbicide</v>
      </c>
      <c r="B59" s="43" t="str">
        <f>VLOOKUP($C59,'Article Reference'!$A$5:$D$53,3,FALSE)</f>
        <v>2 x 2.5 gal</v>
      </c>
      <c r="C59" s="85">
        <v>4059014427</v>
      </c>
      <c r="D59" s="44">
        <f>VLOOKUP($C59,'Article Reference'!$A$5:$D$53,4,FALSE)</f>
        <v>1787.5</v>
      </c>
      <c r="E59" s="250"/>
      <c r="F59" s="110">
        <v>0</v>
      </c>
      <c r="G59" s="45">
        <f t="shared" si="4"/>
        <v>0</v>
      </c>
      <c r="H59" s="296"/>
      <c r="I59" s="297"/>
      <c r="J59" s="46">
        <f>IF(ISNA(VLOOKUP($C59,'Coverage Reference'!$B$6:$H$21,4,FALSE))=TRUE,0,VLOOKUP($C59,'Coverage Reference'!$B$6:$H$21,4,FALSE)*(F59+H59))</f>
        <v>0</v>
      </c>
      <c r="K59" s="46">
        <f>IF(ISNA(VLOOKUP($C59,'Coverage Reference'!$B$6:$H$21,5,FALSE))=TRUE,0,VLOOKUP($C59,'Coverage Reference'!$B$6:$H$21,5,FALSE)*(F59+H59))</f>
        <v>0</v>
      </c>
      <c r="L59" s="46">
        <f>IF(ISNA(VLOOKUP($C59,'Coverage Reference'!$B$6:$H$21,6,FALSE))=TRUE,0,VLOOKUP($C59,'Coverage Reference'!$B$6:$H$21,6,FALSE)*(F59+H59))</f>
        <v>0</v>
      </c>
      <c r="M59" s="109"/>
    </row>
    <row r="60" spans="1:17" x14ac:dyDescent="0.2">
      <c r="A60" s="251" t="s">
        <v>200</v>
      </c>
      <c r="B60" s="252"/>
      <c r="C60" s="252"/>
      <c r="D60" s="253"/>
      <c r="E60" s="250"/>
      <c r="F60" s="254"/>
      <c r="G60" s="255"/>
      <c r="H60" s="296"/>
      <c r="I60" s="297"/>
      <c r="J60" s="46"/>
      <c r="K60" s="46"/>
      <c r="L60" s="46"/>
      <c r="M60" s="109"/>
      <c r="P60" s="279"/>
      <c r="Q60" s="281"/>
    </row>
    <row r="61" spans="1:17" x14ac:dyDescent="0.2">
      <c r="A61" s="42" t="str">
        <f>VLOOKUP($C61,'Article Reference'!$A$5:$D$53,2,FALSE)</f>
        <v>Admiral® lake colorant</v>
      </c>
      <c r="B61" s="43" t="str">
        <f>VLOOKUP($C61,'Article Reference'!$A$5:$D$53,3,FALSE)</f>
        <v>4 x 1 gal</v>
      </c>
      <c r="C61" s="85">
        <v>4059014151</v>
      </c>
      <c r="D61" s="44">
        <f>VLOOKUP($C61,'Article Reference'!$A$5:$D$53,4,FALSE)</f>
        <v>300.92</v>
      </c>
      <c r="E61" s="250"/>
      <c r="F61" s="110">
        <v>0</v>
      </c>
      <c r="G61" s="45">
        <f t="shared" ref="G61:G62" si="7">F61*D61</f>
        <v>0</v>
      </c>
      <c r="H61" s="296"/>
      <c r="I61" s="297"/>
      <c r="J61" s="46">
        <f>IF(ISNA(VLOOKUP($C61,'Coverage Reference'!$B$6:$H$21,4,FALSE))=TRUE,0,VLOOKUP($C61,'Coverage Reference'!$B$6:$H$21,4,FALSE)*(F61+H61))</f>
        <v>0</v>
      </c>
      <c r="K61" s="46">
        <f>IF(ISNA(VLOOKUP($C61,'Coverage Reference'!$B$6:$H$21,5,FALSE))=TRUE,0,VLOOKUP($C61,'Coverage Reference'!$B$6:$H$21,5,FALSE)*(F61+H61))</f>
        <v>0</v>
      </c>
      <c r="L61" s="46">
        <f>IF(ISNA(VLOOKUP($C61,'Coverage Reference'!$B$6:$H$21,6,FALSE))=TRUE,0,VLOOKUP($C61,'Coverage Reference'!$B$6:$H$21,6,FALSE)*(F61+H61))</f>
        <v>0</v>
      </c>
      <c r="M61" s="109"/>
      <c r="P61" s="280"/>
      <c r="Q61" s="281"/>
    </row>
    <row r="62" spans="1:17" x14ac:dyDescent="0.2">
      <c r="A62" s="42" t="str">
        <f>VLOOKUP($C62,'Article Reference'!$A$5:$D$53,2,FALSE)</f>
        <v>Black Onyx lake &amp; pond colorant</v>
      </c>
      <c r="B62" s="43" t="str">
        <f>VLOOKUP($C62,'Article Reference'!$A$5:$D$53,3,FALSE)</f>
        <v>4 x 1 gal</v>
      </c>
      <c r="C62" s="85">
        <v>4059013424</v>
      </c>
      <c r="D62" s="44">
        <f>VLOOKUP($C62,'Article Reference'!$A$5:$D$53,4,FALSE)</f>
        <v>515.12</v>
      </c>
      <c r="E62" s="250"/>
      <c r="F62" s="110">
        <v>0</v>
      </c>
      <c r="G62" s="45">
        <f t="shared" si="7"/>
        <v>0</v>
      </c>
      <c r="H62" s="296"/>
      <c r="I62" s="297"/>
      <c r="J62" s="46">
        <f>IF(ISNA(VLOOKUP($C62,'Coverage Reference'!$B$6:$H$21,4,FALSE))=TRUE,0,VLOOKUP($C62,'Coverage Reference'!$B$6:$H$21,4,FALSE)*(F62+H62))</f>
        <v>0</v>
      </c>
      <c r="K62" s="46">
        <f>IF(ISNA(VLOOKUP($C62,'Coverage Reference'!$B$6:$H$21,5,FALSE))=TRUE,0,VLOOKUP($C62,'Coverage Reference'!$B$6:$H$21,5,FALSE)*(F62+H62))</f>
        <v>0</v>
      </c>
      <c r="L62" s="46">
        <f>IF(ISNA(VLOOKUP($C62,'Coverage Reference'!$B$6:$H$21,6,FALSE))=TRUE,0,VLOOKUP($C62,'Coverage Reference'!$B$6:$H$21,6,FALSE)*(F62+H62))</f>
        <v>0</v>
      </c>
      <c r="M62" s="109"/>
    </row>
    <row r="63" spans="1:17" x14ac:dyDescent="0.2">
      <c r="A63" s="42" t="str">
        <f>VLOOKUP($C63,'Article Reference'!$A$5:$D$53,2,FALSE)</f>
        <v>Green Lawnger® colorant</v>
      </c>
      <c r="B63" s="43" t="str">
        <f>VLOOKUP($C63,'Article Reference'!$A$5:$D$53,3,FALSE)</f>
        <v>2 x 2.5 gal</v>
      </c>
      <c r="C63" s="85">
        <v>4059030464</v>
      </c>
      <c r="D63" s="44">
        <f>VLOOKUP($C63,'Article Reference'!$A$5:$D$53,4,FALSE)</f>
        <v>446.26</v>
      </c>
      <c r="E63" s="250"/>
      <c r="F63" s="110">
        <v>0</v>
      </c>
      <c r="G63" s="45">
        <f t="shared" si="4"/>
        <v>0</v>
      </c>
      <c r="H63" s="296"/>
      <c r="I63" s="297"/>
      <c r="J63" s="46">
        <f>IF(ISNA(VLOOKUP($C63,'Coverage Reference'!$B$6:$H$21,4,FALSE))=TRUE,0,VLOOKUP($C63,'Coverage Reference'!$B$6:$H$21,4,FALSE)*(F63+H63))</f>
        <v>0</v>
      </c>
      <c r="K63" s="46">
        <f>IF(ISNA(VLOOKUP($C63,'Coverage Reference'!$B$6:$H$21,5,FALSE))=TRUE,0,VLOOKUP($C63,'Coverage Reference'!$B$6:$H$21,5,FALSE)*(F63+H63))</f>
        <v>0</v>
      </c>
      <c r="L63" s="46">
        <f>IF(ISNA(VLOOKUP($C63,'Coverage Reference'!$B$6:$H$21,6,FALSE))=TRUE,0,VLOOKUP($C63,'Coverage Reference'!$B$6:$H$21,6,FALSE)*(F63+H63))</f>
        <v>0</v>
      </c>
      <c r="M63" s="109"/>
    </row>
    <row r="64" spans="1:17" x14ac:dyDescent="0.2">
      <c r="A64" s="42" t="str">
        <f>VLOOKUP($C64,'Article Reference'!$A$5:$D$53,2,FALSE)</f>
        <v>Green Lawnger® Transition HC colorant</v>
      </c>
      <c r="B64" s="43" t="str">
        <f>VLOOKUP($C64,'Article Reference'!$A$5:$D$53,3,FALSE)</f>
        <v>4 x 1 gal</v>
      </c>
      <c r="C64" s="85">
        <v>4059030456</v>
      </c>
      <c r="D64" s="44">
        <f>VLOOKUP($C64,'Article Reference'!$A$5:$D$53,4,FALSE)</f>
        <v>938.4</v>
      </c>
      <c r="E64" s="250"/>
      <c r="F64" s="110">
        <v>0</v>
      </c>
      <c r="G64" s="45">
        <f t="shared" si="4"/>
        <v>0</v>
      </c>
      <c r="H64" s="296"/>
      <c r="I64" s="297"/>
      <c r="J64" s="46">
        <f>IF(ISNA(VLOOKUP($C64,'Coverage Reference'!$B$6:$H$21,4,FALSE))=TRUE,0,VLOOKUP($C64,'Coverage Reference'!$B$6:$H$21,4,FALSE)*(F64+H64))</f>
        <v>0</v>
      </c>
      <c r="K64" s="46">
        <f>IF(ISNA(VLOOKUP($C64,'Coverage Reference'!$B$6:$H$21,5,FALSE))=TRUE,0,VLOOKUP($C64,'Coverage Reference'!$B$6:$H$21,5,FALSE)*(F64+H64))</f>
        <v>0</v>
      </c>
      <c r="L64" s="46">
        <f>IF(ISNA(VLOOKUP($C64,'Coverage Reference'!$B$6:$H$21,6,FALSE))=TRUE,0,VLOOKUP($C64,'Coverage Reference'!$B$6:$H$21,6,FALSE)*(F64+H64))</f>
        <v>0</v>
      </c>
      <c r="M64" s="109"/>
    </row>
    <row r="65" spans="1:13" x14ac:dyDescent="0.2">
      <c r="A65" s="42" t="str">
        <f>VLOOKUP($C65,'Article Reference'!$A$5:$D$53,2,FALSE)</f>
        <v>Green Lawnger® Transition HC colorant</v>
      </c>
      <c r="B65" s="43" t="str">
        <f>VLOOKUP($C65,'Article Reference'!$A$5:$D$53,3,FALSE)</f>
        <v>1 x 30 gal</v>
      </c>
      <c r="C65" s="85">
        <v>4059023772</v>
      </c>
      <c r="D65" s="44">
        <f>VLOOKUP($C65,'Article Reference'!$A$5:$D$53,4,FALSE)</f>
        <v>2715.75</v>
      </c>
      <c r="E65" s="250"/>
      <c r="F65" s="110">
        <v>0</v>
      </c>
      <c r="G65" s="45">
        <f t="shared" ref="G65" si="8">F65*D65</f>
        <v>0</v>
      </c>
      <c r="H65" s="296"/>
      <c r="I65" s="297"/>
      <c r="J65" s="46"/>
      <c r="K65" s="46"/>
      <c r="L65" s="46"/>
      <c r="M65" s="109"/>
    </row>
    <row r="66" spans="1:13" x14ac:dyDescent="0.2">
      <c r="A66" s="42" t="str">
        <f>VLOOKUP($C66,'Article Reference'!$A$5:$D$53,2,FALSE)</f>
        <v>Green Lawnger® Vision Pro colorant</v>
      </c>
      <c r="B66" s="43" t="str">
        <f>VLOOKUP($C66,'Article Reference'!$A$5:$D$53,3,FALSE)</f>
        <v>4 x 1 gal</v>
      </c>
      <c r="C66" s="85">
        <v>4059030457</v>
      </c>
      <c r="D66" s="44">
        <f>VLOOKUP($C66,'Article Reference'!$A$5:$D$53,4,FALSE)</f>
        <v>846.6</v>
      </c>
      <c r="E66" s="250"/>
      <c r="F66" s="110">
        <v>0</v>
      </c>
      <c r="G66" s="45">
        <f t="shared" si="4"/>
        <v>0</v>
      </c>
      <c r="H66" s="296"/>
      <c r="I66" s="297"/>
      <c r="J66" s="46">
        <f>IF(ISNA(VLOOKUP($C66,'Coverage Reference'!$B$6:$H$21,4,FALSE))=TRUE,0,VLOOKUP($C66,'Coverage Reference'!$B$6:$H$21,4,FALSE)*(F66+H66))</f>
        <v>0</v>
      </c>
      <c r="K66" s="46">
        <f>IF(ISNA(VLOOKUP($C66,'Coverage Reference'!$B$6:$H$21,5,FALSE))=TRUE,0,VLOOKUP($C66,'Coverage Reference'!$B$6:$H$21,5,FALSE)*(F66+H66))</f>
        <v>0</v>
      </c>
      <c r="L66" s="46">
        <f>IF(ISNA(VLOOKUP($C66,'Coverage Reference'!$B$6:$H$21,6,FALSE))=TRUE,0,VLOOKUP($C66,'Coverage Reference'!$B$6:$H$21,6,FALSE)*(F66+H66))</f>
        <v>0</v>
      </c>
      <c r="M66" s="109"/>
    </row>
    <row r="67" spans="1:13" x14ac:dyDescent="0.2">
      <c r="A67" s="251" t="s">
        <v>238</v>
      </c>
      <c r="B67" s="252"/>
      <c r="C67" s="252"/>
      <c r="D67" s="253"/>
      <c r="E67" s="250"/>
      <c r="F67" s="254"/>
      <c r="G67" s="255"/>
      <c r="H67" s="296"/>
      <c r="I67" s="297"/>
      <c r="J67" s="46"/>
      <c r="K67" s="46"/>
      <c r="L67" s="46"/>
      <c r="M67" s="109"/>
    </row>
    <row r="68" spans="1:13" x14ac:dyDescent="0.2">
      <c r="A68" s="42" t="str">
        <f>VLOOKUP($C68,'Article Reference'!$A$5:$D$53,2,FALSE)</f>
        <v>Turf Mark spray indicator - blue</v>
      </c>
      <c r="B68" s="43" t="str">
        <f>VLOOKUP($C68,'Article Reference'!$A$5:$D$53,3,FALSE)</f>
        <v>12 x 0.25 gal</v>
      </c>
      <c r="C68" s="85">
        <v>4059013723</v>
      </c>
      <c r="D68" s="44">
        <f>VLOOKUP($C68,'Article Reference'!$A$5:$D$53,4,FALSE)</f>
        <v>292.56</v>
      </c>
      <c r="E68" s="250"/>
      <c r="F68" s="110">
        <v>0</v>
      </c>
      <c r="G68" s="45">
        <f t="shared" si="4"/>
        <v>0</v>
      </c>
      <c r="H68" s="296"/>
      <c r="I68" s="297"/>
      <c r="J68" s="46">
        <f>IF(ISNA(VLOOKUP($C68,'Coverage Reference'!$B$6:$H$21,4,FALSE))=TRUE,0,VLOOKUP($C68,'Coverage Reference'!$B$6:$H$21,4,FALSE)*(F68+H68))</f>
        <v>0</v>
      </c>
      <c r="K68" s="46">
        <f>IF(ISNA(VLOOKUP($C68,'Coverage Reference'!$B$6:$H$21,5,FALSE))=TRUE,0,VLOOKUP($C68,'Coverage Reference'!$B$6:$H$21,5,FALSE)*(F68+H68))</f>
        <v>0</v>
      </c>
      <c r="L68" s="46">
        <f>IF(ISNA(VLOOKUP($C68,'Coverage Reference'!$B$6:$H$21,6,FALSE))=TRUE,0,VLOOKUP($C68,'Coverage Reference'!$B$6:$H$21,6,FALSE)*(F68+H68))</f>
        <v>0</v>
      </c>
      <c r="M68" s="109"/>
    </row>
    <row r="69" spans="1:13" x14ac:dyDescent="0.2">
      <c r="A69" s="42" t="str">
        <f>VLOOKUP($C69,'Article Reference'!$A$5:$D$53,2,FALSE)</f>
        <v>Turf Mark spray indicator - blue</v>
      </c>
      <c r="B69" s="43" t="str">
        <f>VLOOKUP($C69,'Article Reference'!$A$5:$D$53,3,FALSE)</f>
        <v>4 x 1 gal</v>
      </c>
      <c r="C69" s="85">
        <v>4059013420</v>
      </c>
      <c r="D69" s="44">
        <f>VLOOKUP($C69,'Article Reference'!$A$5:$D$53,4,FALSE)</f>
        <v>280.52</v>
      </c>
      <c r="E69" s="250"/>
      <c r="F69" s="110">
        <v>0</v>
      </c>
      <c r="G69" s="45">
        <f t="shared" si="4"/>
        <v>0</v>
      </c>
      <c r="H69" s="296"/>
      <c r="I69" s="297"/>
      <c r="J69" s="46">
        <f>IF(ISNA(VLOOKUP($C69,'Coverage Reference'!$B$6:$H$21,4,FALSE))=TRUE,0,VLOOKUP($C69,'Coverage Reference'!$B$6:$H$21,4,FALSE)*(F69+H69))</f>
        <v>0</v>
      </c>
      <c r="K69" s="46">
        <f>IF(ISNA(VLOOKUP($C69,'Coverage Reference'!$B$6:$H$21,5,FALSE))=TRUE,0,VLOOKUP($C69,'Coverage Reference'!$B$6:$H$21,5,FALSE)*(F69+H69))</f>
        <v>0</v>
      </c>
      <c r="L69" s="46">
        <f>IF(ISNA(VLOOKUP($C69,'Coverage Reference'!$B$6:$H$21,6,FALSE))=TRUE,0,VLOOKUP($C69,'Coverage Reference'!$B$6:$H$21,6,FALSE)*(F69+H69))</f>
        <v>0</v>
      </c>
      <c r="M69" s="109"/>
    </row>
    <row r="70" spans="1:13" x14ac:dyDescent="0.2">
      <c r="A70" s="42" t="str">
        <f>VLOOKUP($C70,'Article Reference'!$A$5:$D$53,2,FALSE)</f>
        <v>Turf Mark spray indicator - blue</v>
      </c>
      <c r="B70" s="43" t="str">
        <f>VLOOKUP($C70,'Article Reference'!$A$5:$D$53,3,FALSE)</f>
        <v>2 x 2.5 gal</v>
      </c>
      <c r="C70" s="85">
        <v>4059030213</v>
      </c>
      <c r="D70" s="44">
        <f>VLOOKUP($C70,'Article Reference'!$A$5:$D$53,4,FALSE)</f>
        <v>328.32</v>
      </c>
      <c r="E70" s="250"/>
      <c r="F70" s="110">
        <v>0</v>
      </c>
      <c r="G70" s="45">
        <f t="shared" si="4"/>
        <v>0</v>
      </c>
      <c r="H70" s="296"/>
      <c r="I70" s="297"/>
      <c r="J70" s="46">
        <f>IF(ISNA(VLOOKUP($C70,'Coverage Reference'!$B$6:$H$21,4,FALSE))=TRUE,0,VLOOKUP($C70,'Coverage Reference'!$B$6:$H$21,4,FALSE)*(F70+H70))</f>
        <v>0</v>
      </c>
      <c r="K70" s="46">
        <f>IF(ISNA(VLOOKUP($C70,'Coverage Reference'!$B$6:$H$21,5,FALSE))=TRUE,0,VLOOKUP($C70,'Coverage Reference'!$B$6:$H$21,5,FALSE)*(F70+H70))</f>
        <v>0</v>
      </c>
      <c r="L70" s="46">
        <f>IF(ISNA(VLOOKUP($C70,'Coverage Reference'!$B$6:$H$21,6,FALSE))=TRUE,0,VLOOKUP($C70,'Coverage Reference'!$B$6:$H$21,6,FALSE)*(F70+H70))</f>
        <v>0</v>
      </c>
      <c r="M70" s="109"/>
    </row>
    <row r="71" spans="1:13" x14ac:dyDescent="0.2">
      <c r="A71" s="42" t="str">
        <f>VLOOKUP($C71,'Article Reference'!$A$5:$D$53,2,FALSE)</f>
        <v>Turf Mark spray indicator - blue</v>
      </c>
      <c r="B71" s="43" t="str">
        <f>VLOOKUP($C71,'Article Reference'!$A$5:$D$53,3,FALSE)</f>
        <v>1 x 30 gal</v>
      </c>
      <c r="C71" s="85">
        <v>4059013314</v>
      </c>
      <c r="D71" s="44">
        <f>VLOOKUP($C71,'Article Reference'!$A$5:$D$53,4,FALSE)</f>
        <v>1836</v>
      </c>
      <c r="E71" s="173"/>
      <c r="F71" s="110">
        <v>0</v>
      </c>
      <c r="G71" s="45">
        <f t="shared" ref="G71" si="9">F71*D71</f>
        <v>0</v>
      </c>
      <c r="H71" s="296"/>
      <c r="I71" s="297"/>
      <c r="J71" s="46"/>
      <c r="K71" s="46"/>
      <c r="L71" s="46"/>
      <c r="M71" s="109"/>
    </row>
    <row r="72" spans="1:13" x14ac:dyDescent="0.2">
      <c r="A72" s="248" t="s">
        <v>128</v>
      </c>
      <c r="B72" s="248"/>
      <c r="C72" s="248"/>
      <c r="D72" s="248"/>
      <c r="E72" s="248"/>
      <c r="F72" s="138"/>
      <c r="G72" s="139">
        <f>SUM(G44:G71)</f>
        <v>0</v>
      </c>
      <c r="H72" s="298"/>
      <c r="I72" s="299"/>
      <c r="J72" s="258">
        <f>G72</f>
        <v>0</v>
      </c>
      <c r="K72" s="258"/>
      <c r="L72" s="258"/>
    </row>
    <row r="77" spans="1:13" ht="12.75" customHeight="1" x14ac:dyDescent="0.2">
      <c r="A77" s="262" t="s">
        <v>275</v>
      </c>
      <c r="B77" s="262"/>
      <c r="C77" s="262"/>
      <c r="D77" s="262"/>
      <c r="E77" s="262"/>
      <c r="F77" s="262"/>
      <c r="G77" s="262"/>
      <c r="H77" s="262"/>
      <c r="I77" s="262"/>
    </row>
    <row r="78" spans="1:13" x14ac:dyDescent="0.2">
      <c r="A78" s="262"/>
      <c r="B78" s="262"/>
      <c r="C78" s="262"/>
      <c r="D78" s="262"/>
      <c r="E78" s="262"/>
      <c r="F78" s="262"/>
      <c r="G78" s="262"/>
      <c r="H78" s="262"/>
      <c r="I78" s="262"/>
    </row>
    <row r="79" spans="1:13" x14ac:dyDescent="0.2">
      <c r="A79" s="262"/>
      <c r="B79" s="262"/>
      <c r="C79" s="262"/>
      <c r="D79" s="262"/>
      <c r="E79" s="262"/>
      <c r="F79" s="262"/>
      <c r="G79" s="262"/>
      <c r="H79" s="262"/>
      <c r="I79" s="262"/>
    </row>
    <row r="80" spans="1:13" x14ac:dyDescent="0.2">
      <c r="A80" s="262"/>
      <c r="B80" s="262"/>
      <c r="C80" s="262"/>
      <c r="D80" s="262"/>
      <c r="E80" s="262"/>
      <c r="F80" s="262"/>
      <c r="G80" s="262"/>
      <c r="H80" s="262"/>
      <c r="I80" s="262"/>
    </row>
    <row r="81" spans="1:9" x14ac:dyDescent="0.2">
      <c r="A81" s="262"/>
      <c r="B81" s="262"/>
      <c r="C81" s="262"/>
      <c r="D81" s="262"/>
      <c r="E81" s="262"/>
      <c r="F81" s="262"/>
      <c r="G81" s="262"/>
      <c r="H81" s="262"/>
      <c r="I81" s="262"/>
    </row>
    <row r="82" spans="1:9" x14ac:dyDescent="0.2">
      <c r="A82" s="262"/>
      <c r="B82" s="262"/>
      <c r="C82" s="262"/>
      <c r="D82" s="262"/>
      <c r="E82" s="262"/>
      <c r="F82" s="262"/>
      <c r="G82" s="262"/>
      <c r="H82" s="262"/>
      <c r="I82" s="262"/>
    </row>
    <row r="83" spans="1:9" x14ac:dyDescent="0.2">
      <c r="A83" s="262"/>
      <c r="B83" s="262"/>
      <c r="C83" s="262"/>
      <c r="D83" s="262"/>
      <c r="E83" s="262"/>
      <c r="F83" s="262"/>
      <c r="G83" s="262"/>
      <c r="H83" s="262"/>
      <c r="I83" s="262"/>
    </row>
    <row r="84" spans="1:9" x14ac:dyDescent="0.2">
      <c r="A84" s="262"/>
      <c r="B84" s="262"/>
      <c r="C84" s="262"/>
      <c r="D84" s="262"/>
      <c r="E84" s="262"/>
      <c r="F84" s="262"/>
      <c r="G84" s="262"/>
      <c r="H84" s="262"/>
      <c r="I84" s="262"/>
    </row>
    <row r="85" spans="1:9" x14ac:dyDescent="0.2">
      <c r="A85" s="262"/>
      <c r="B85" s="262"/>
      <c r="C85" s="262"/>
      <c r="D85" s="262"/>
      <c r="E85" s="262"/>
      <c r="F85" s="262"/>
      <c r="G85" s="262"/>
      <c r="H85" s="262"/>
      <c r="I85" s="262"/>
    </row>
    <row r="86" spans="1:9" x14ac:dyDescent="0.2">
      <c r="A86" s="262"/>
      <c r="B86" s="262"/>
      <c r="C86" s="262"/>
      <c r="D86" s="262"/>
      <c r="E86" s="262"/>
      <c r="F86" s="262"/>
      <c r="G86" s="262"/>
      <c r="H86" s="262"/>
      <c r="I86" s="262"/>
    </row>
  </sheetData>
  <sheetProtection algorithmName="SHA-512" hashValue="mRskAaGWiT6yeWj6OOQUE13dhLYridC2AbyWxavSIJ6GC/gKkvSWcNBaaicOAisXqeDi64AlSCRwevjvruOkyQ==" saltValue="3R45QGsSM+iNsxLa2/0O8A==" spinCount="100000" sheet="1" objects="1" scenarios="1"/>
  <protectedRanges>
    <protectedRange sqref="F27 H27:H35 F29:F31 F33:F35" name="Range1"/>
    <protectedRange sqref="H26 H36:H38 F36:F38 H60:H71 F61:F66 F68:F71 F26 F28 F32 F44:F46 F48:F49 H45:H49 H44 F51:F59 H50:H59" name="Range2"/>
  </protectedRanges>
  <mergeCells count="64">
    <mergeCell ref="B22:C22"/>
    <mergeCell ref="P39:P40"/>
    <mergeCell ref="Q39:Q40"/>
    <mergeCell ref="B23:C23"/>
    <mergeCell ref="P31:P33"/>
    <mergeCell ref="Q31:Q33"/>
    <mergeCell ref="P34:P35"/>
    <mergeCell ref="Q34:Q35"/>
    <mergeCell ref="P36:P38"/>
    <mergeCell ref="Q36:Q38"/>
    <mergeCell ref="P29:P30"/>
    <mergeCell ref="P60:P61"/>
    <mergeCell ref="Q60:Q61"/>
    <mergeCell ref="A7:I7"/>
    <mergeCell ref="P15:Q15"/>
    <mergeCell ref="P16:Q17"/>
    <mergeCell ref="Q18:Q19"/>
    <mergeCell ref="P18:P19"/>
    <mergeCell ref="P20:P21"/>
    <mergeCell ref="Q20:Q21"/>
    <mergeCell ref="P26:P28"/>
    <mergeCell ref="Q26:Q28"/>
    <mergeCell ref="Q29:Q30"/>
    <mergeCell ref="Q22:Q23"/>
    <mergeCell ref="P22:P23"/>
    <mergeCell ref="H42:I72"/>
    <mergeCell ref="A8:I8"/>
    <mergeCell ref="H19:I19"/>
    <mergeCell ref="D20:G20"/>
    <mergeCell ref="A9:I9"/>
    <mergeCell ref="A16:I16"/>
    <mergeCell ref="H20:I20"/>
    <mergeCell ref="B17:C17"/>
    <mergeCell ref="H18:I18"/>
    <mergeCell ref="H17:I17"/>
    <mergeCell ref="D19:G19"/>
    <mergeCell ref="D18:G18"/>
    <mergeCell ref="B21:C21"/>
    <mergeCell ref="D17:G17"/>
    <mergeCell ref="D21:G21"/>
    <mergeCell ref="A77:I86"/>
    <mergeCell ref="B20:C20"/>
    <mergeCell ref="A18:A19"/>
    <mergeCell ref="B18:C19"/>
    <mergeCell ref="A67:D67"/>
    <mergeCell ref="F67:G67"/>
    <mergeCell ref="D23:G23"/>
    <mergeCell ref="H23:I23"/>
    <mergeCell ref="D22:G22"/>
    <mergeCell ref="H22:I22"/>
    <mergeCell ref="A60:D60"/>
    <mergeCell ref="F43:G43"/>
    <mergeCell ref="F47:G47"/>
    <mergeCell ref="F50:G50"/>
    <mergeCell ref="F60:G60"/>
    <mergeCell ref="H21:I21"/>
    <mergeCell ref="J72:L72"/>
    <mergeCell ref="J41:L41"/>
    <mergeCell ref="A41:E41"/>
    <mergeCell ref="A72:E72"/>
    <mergeCell ref="E42:E70"/>
    <mergeCell ref="A43:D43"/>
    <mergeCell ref="A47:D47"/>
    <mergeCell ref="A50:D50"/>
  </mergeCells>
  <conditionalFormatting sqref="B17">
    <cfRule type="cellIs" dxfId="19" priority="74" operator="equal">
      <formula>"October Rebate Locked"</formula>
    </cfRule>
    <cfRule type="cellIs" dxfId="18" priority="76" operator="equal">
      <formula>"Nov-Dec Rebate Locked"</formula>
    </cfRule>
    <cfRule type="cellIs" dxfId="17" priority="77" operator="equal">
      <formula>"Rebate Level Not Achieved"</formula>
    </cfRule>
  </conditionalFormatting>
  <conditionalFormatting sqref="B21">
    <cfRule type="cellIs" dxfId="16" priority="53" operator="equal">
      <formula>"Not Achieved"</formula>
    </cfRule>
  </conditionalFormatting>
  <conditionalFormatting sqref="B18">
    <cfRule type="cellIs" dxfId="15" priority="41" operator="equal">
      <formula>"Not Achieved"</formula>
    </cfRule>
  </conditionalFormatting>
  <conditionalFormatting sqref="B18">
    <cfRule type="cellIs" dxfId="14" priority="40" operator="equal">
      <formula>0</formula>
    </cfRule>
  </conditionalFormatting>
  <conditionalFormatting sqref="H18:I18 H20:I20">
    <cfRule type="cellIs" dxfId="13" priority="38" operator="greaterThan">
      <formula>0</formula>
    </cfRule>
  </conditionalFormatting>
  <conditionalFormatting sqref="H23">
    <cfRule type="cellIs" dxfId="12" priority="37" operator="greaterThan">
      <formula>0</formula>
    </cfRule>
  </conditionalFormatting>
  <conditionalFormatting sqref="P16">
    <cfRule type="cellIs" dxfId="11" priority="31" operator="notEqual">
      <formula>"Qualified"</formula>
    </cfRule>
    <cfRule type="cellIs" dxfId="10" priority="32" operator="equal">
      <formula>"Qualified"</formula>
    </cfRule>
  </conditionalFormatting>
  <conditionalFormatting sqref="Q20 Q25">
    <cfRule type="cellIs" dxfId="9" priority="24" operator="equal">
      <formula>"Max"</formula>
    </cfRule>
  </conditionalFormatting>
  <conditionalFormatting sqref="B22:B23">
    <cfRule type="cellIs" dxfId="8" priority="20" operator="equal">
      <formula>"Not Achieved"</formula>
    </cfRule>
  </conditionalFormatting>
  <conditionalFormatting sqref="Q26">
    <cfRule type="cellIs" dxfId="7" priority="13" operator="equal">
      <formula>"Achieved"</formula>
    </cfRule>
    <cfRule type="colorScale" priority="14">
      <colorScale>
        <cfvo type="min"/>
        <cfvo type="max"/>
        <color rgb="FFFF7128"/>
        <color rgb="FFFFEF9C"/>
      </colorScale>
    </cfRule>
  </conditionalFormatting>
  <conditionalFormatting sqref="Q29">
    <cfRule type="cellIs" dxfId="6" priority="12" operator="equal">
      <formula>"Max"</formula>
    </cfRule>
  </conditionalFormatting>
  <conditionalFormatting sqref="Q60">
    <cfRule type="cellIs" dxfId="5" priority="9" operator="equal">
      <formula>"Max"</formula>
    </cfRule>
  </conditionalFormatting>
  <conditionalFormatting sqref="Q31">
    <cfRule type="cellIs" dxfId="4" priority="7" operator="equal">
      <formula>"Achieved"</formula>
    </cfRule>
    <cfRule type="colorScale" priority="8">
      <colorScale>
        <cfvo type="min"/>
        <cfvo type="max"/>
        <color rgb="FFFF7128"/>
        <color rgb="FFFFEF9C"/>
      </colorScale>
    </cfRule>
  </conditionalFormatting>
  <conditionalFormatting sqref="Q34">
    <cfRule type="cellIs" dxfId="3" priority="6" operator="equal">
      <formula>"Max"</formula>
    </cfRule>
  </conditionalFormatting>
  <conditionalFormatting sqref="Q36">
    <cfRule type="cellIs" dxfId="2" priority="4" operator="equal">
      <formula>"Achieved"</formula>
    </cfRule>
    <cfRule type="colorScale" priority="5">
      <colorScale>
        <cfvo type="min"/>
        <cfvo type="max"/>
        <color rgb="FFFF7128"/>
        <color rgb="FFFFEF9C"/>
      </colorScale>
    </cfRule>
  </conditionalFormatting>
  <conditionalFormatting sqref="Q39">
    <cfRule type="cellIs" dxfId="1" priority="3" operator="equal">
      <formula>"Max"</formula>
    </cfRule>
  </conditionalFormatting>
  <dataValidations count="2">
    <dataValidation type="decimal" operator="greaterThanOrEqual" allowBlank="1" showInputMessage="1" showErrorMessage="1" sqref="F48:F49 F61:F66 F68:F71 F51:F59 F44:F46" xr:uid="{2D8F0DFB-B298-4DB5-94D4-30638B72BC83}">
      <formula1>0</formula1>
    </dataValidation>
    <dataValidation type="decimal" operator="greaterThanOrEqual" allowBlank="1" showInputMessage="1" showErrorMessage="1" error="Only Complete Case/Cube Quantities Allowed - Please Enter Whole Number" sqref="F26:F38 H26:H38"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41" max="16"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301" t="s">
        <v>62</v>
      </c>
      <c r="B16" s="301"/>
      <c r="C16" s="50">
        <v>40</v>
      </c>
    </row>
    <row r="17" spans="1:13" x14ac:dyDescent="0.2">
      <c r="A17" s="301" t="s">
        <v>88</v>
      </c>
      <c r="B17" s="301"/>
      <c r="C17" s="50">
        <v>10</v>
      </c>
    </row>
    <row r="19" spans="1:13" x14ac:dyDescent="0.2">
      <c r="A19" s="51" t="s">
        <v>78</v>
      </c>
    </row>
    <row r="20" spans="1:13" ht="15" x14ac:dyDescent="0.25">
      <c r="A20" s="304" t="s">
        <v>80</v>
      </c>
      <c r="B20" s="305"/>
      <c r="C20" s="305"/>
      <c r="D20" s="305"/>
      <c r="E20" s="305"/>
      <c r="F20" s="305"/>
      <c r="G20" s="305"/>
      <c r="H20" s="305"/>
      <c r="I20" s="306"/>
      <c r="M20" t="s">
        <v>42</v>
      </c>
    </row>
    <row r="21" spans="1:13" x14ac:dyDescent="0.2">
      <c r="A21" s="308" t="s">
        <v>13</v>
      </c>
      <c r="B21" s="308" t="s">
        <v>41</v>
      </c>
      <c r="C21" s="308" t="s">
        <v>77</v>
      </c>
      <c r="D21" s="302" t="s">
        <v>17</v>
      </c>
      <c r="E21" s="303"/>
      <c r="F21" s="302" t="s">
        <v>54</v>
      </c>
      <c r="G21" s="303"/>
      <c r="H21" s="302" t="s">
        <v>46</v>
      </c>
      <c r="I21" s="303"/>
      <c r="M21" t="s">
        <v>43</v>
      </c>
    </row>
    <row r="22" spans="1:13" x14ac:dyDescent="0.2">
      <c r="A22" s="309"/>
      <c r="B22" s="309"/>
      <c r="C22" s="309"/>
      <c r="D22" s="57" t="s">
        <v>44</v>
      </c>
      <c r="E22" s="57" t="s">
        <v>45</v>
      </c>
      <c r="F22" s="57" t="s">
        <v>44</v>
      </c>
      <c r="G22" s="57" t="s">
        <v>45</v>
      </c>
      <c r="H22" s="57" t="s">
        <v>44</v>
      </c>
      <c r="I22" s="57" t="s">
        <v>45</v>
      </c>
    </row>
    <row r="23" spans="1:13" x14ac:dyDescent="0.2">
      <c r="A23" s="307" t="s">
        <v>21</v>
      </c>
      <c r="B23" s="58" t="s">
        <v>22</v>
      </c>
      <c r="C23" s="59" t="s">
        <v>42</v>
      </c>
      <c r="D23" s="60" t="e">
        <f>SUMIFS('Step 2 - Order Planner'!J$26:J$39,'Step 2 - Order Planner'!$C$26:$C$37,$K23)+SUMIFS('Step 2 - Order Planner'!J$44:J$70,'Step 2 - Order Planner'!$C$44:$C$70,$K23)</f>
        <v>#VALUE!</v>
      </c>
      <c r="E23" s="60" t="e">
        <f t="shared" ref="E23:E37" si="0">IF(OR($C$16=0,$C$17=0),"Please Enter Acreage",IF(C23="Greens",D23/$C$17,IF(C23="Fairways",D23/$C$16,0)))</f>
        <v>#VALUE!</v>
      </c>
      <c r="F23" s="60" t="e">
        <f>SUMIFS('Step 2 - Order Planner'!K$26:K$39,'Step 2 - Order Planner'!$C$26:$C$37,$K23)+SUMIFS('Step 2 - Order Planner'!K$44:K$70,'Step 2 - Order Planner'!$C$44:$C$70,$K23)</f>
        <v>#VALUE!</v>
      </c>
      <c r="G23" s="60" t="e">
        <f>IF(OR($C$16=0,$C$17=0),"Please Enter Acreage",IF(C23="Greens",F23/$C$17,IF(C23="Fairways",F23/$C$16,0)))</f>
        <v>#VALUE!</v>
      </c>
      <c r="H23" s="60" t="e">
        <f>SUMIFS('Step 2 - Order Planner'!L$26:L$39,'Step 2 - Order Planner'!$C$26:$C$37,$K23)+SUMIFS('Step 2 - Order Planner'!L$44:L$70,'Step 2 - Order Planner'!$C$44:$C$70,$K23)</f>
        <v>#VALUE!</v>
      </c>
      <c r="I23" s="60" t="e">
        <f t="shared" ref="I23:I37" si="1">IF(OR($C$16=0,$C$17=0),"Please Enter Acreage",IF(C23="Greens",H23/$C$17,IF(C23="Fairways",H23/$C$16,0)))</f>
        <v>#VALUE!</v>
      </c>
      <c r="K23" s="20">
        <v>59021463</v>
      </c>
      <c r="L23" s="47"/>
    </row>
    <row r="24" spans="1:13" x14ac:dyDescent="0.2">
      <c r="A24" s="307"/>
      <c r="B24" s="58" t="s">
        <v>23</v>
      </c>
      <c r="C24" s="59"/>
      <c r="D24" s="60" t="e">
        <f>SUMIFS('Step 2 - Order Planner'!J$26:J$39,'Step 2 - Order Planner'!$C$26:$C$37,$K24)+SUMIFS('Step 2 - Order Planner'!J$44:J$70,'Step 2 - Order Planner'!$C$44:$C$70,$K24)</f>
        <v>#VALUE!</v>
      </c>
      <c r="E24" s="60">
        <f t="shared" si="0"/>
        <v>0</v>
      </c>
      <c r="F24" s="60" t="e">
        <f>SUMIFS('Step 2 - Order Planner'!K$26:K$39,'Step 2 - Order Planner'!$C$26:$C$37,$K24)+SUMIFS('Step 2 - Order Planner'!K$44:K$70,'Step 2 - Order Planner'!$C$44:$C$70,$K24)</f>
        <v>#VALUE!</v>
      </c>
      <c r="G24" s="60">
        <f>IF(OR($C$16=0,$C$17=0),"Please Enter Acreage",IF(C24="Greens",F24/$C$17,IF(C24="Fairways",F24/$C$16,0)))</f>
        <v>0</v>
      </c>
      <c r="H24" s="60" t="e">
        <f>SUMIFS('Step 2 - Order Planner'!L$26:L$39,'Step 2 - Order Planner'!$C$26:$C$37,$K24)+SUMIFS('Step 2 - Order Planner'!L$44:L$70,'Step 2 - Order Planner'!$C$44:$C$70,$K24)</f>
        <v>#VALUE!</v>
      </c>
      <c r="I24" s="60">
        <f t="shared" si="1"/>
        <v>0</v>
      </c>
      <c r="K24" s="20">
        <v>59012825</v>
      </c>
      <c r="L24" s="52"/>
    </row>
    <row r="25" spans="1:13" x14ac:dyDescent="0.2">
      <c r="A25" s="307" t="s">
        <v>27</v>
      </c>
      <c r="B25" s="58" t="s">
        <v>5</v>
      </c>
      <c r="C25" s="59"/>
      <c r="D25" s="60" t="e">
        <f>SUMIFS('Step 2 - Order Planner'!J$26:J$39,'Step 2 - Order Planner'!$C$26:$C$37,$K25)+SUMIFS('Step 2 - Order Planner'!J$44:J$70,'Step 2 - Order Planner'!$C$44:$C$70,$K25)</f>
        <v>#VALUE!</v>
      </c>
      <c r="E25" s="60">
        <f t="shared" si="0"/>
        <v>0</v>
      </c>
      <c r="F25" s="60" t="e">
        <f>SUMIFS('Step 2 - Order Planner'!K$26:K$39,'Step 2 - Order Planner'!$C$26:$C$37,$K25)+SUMIFS('Step 2 - Order Planner'!K$44:K$70,'Step 2 - Order Planner'!$C$44:$C$70,$K25)</f>
        <v>#VALUE!</v>
      </c>
      <c r="G25" s="60">
        <f t="shared" ref="G25:G26" si="2">IF(OR($C$16=0,$C$17=0),"Please Enter Acreage",IF(C25="Greens",F25/$C$17,IF(C25="Fairways",F25/$C$16,0)))</f>
        <v>0</v>
      </c>
      <c r="H25" s="60" t="e">
        <f>SUMIFS('Step 2 - Order Planner'!L$26:L$39,'Step 2 - Order Planner'!$C$26:$C$37,$K25)+SUMIFS('Step 2 - Order Planner'!L$44:L$70,'Step 2 - Order Planner'!$C$44:$C$70,$K25)</f>
        <v>#VALUE!</v>
      </c>
      <c r="I25" s="60">
        <f t="shared" si="1"/>
        <v>0</v>
      </c>
      <c r="K25" s="20">
        <v>59012885</v>
      </c>
      <c r="L25" s="47"/>
    </row>
    <row r="26" spans="1:13" x14ac:dyDescent="0.2">
      <c r="A26" s="307"/>
      <c r="B26" s="58" t="s">
        <v>4</v>
      </c>
      <c r="C26" s="59"/>
      <c r="D26" s="60" t="e">
        <f>SUMIFS('Step 2 - Order Planner'!J$26:J$39,'Step 2 - Order Planner'!$C$26:$C$37,$K26)+SUMIFS('Step 2 - Order Planner'!J$44:J$70,'Step 2 - Order Planner'!$C$44:$C$70,$K26)</f>
        <v>#VALUE!</v>
      </c>
      <c r="E26" s="60">
        <f t="shared" si="0"/>
        <v>0</v>
      </c>
      <c r="F26" s="60" t="e">
        <f>SUMIFS('Step 2 - Order Planner'!K$26:K$39,'Step 2 - Order Planner'!$C$26:$C$37,$K26)+SUMIFS('Step 2 - Order Planner'!K$44:K$70,'Step 2 - Order Planner'!$C$44:$C$70,$K26)</f>
        <v>#VALUE!</v>
      </c>
      <c r="G26" s="60">
        <f t="shared" si="2"/>
        <v>0</v>
      </c>
      <c r="H26" s="60" t="e">
        <f>SUMIFS('Step 2 - Order Planner'!L$26:L$39,'Step 2 - Order Planner'!$C$26:$C$37,$K26)+SUMIFS('Step 2 - Order Planner'!L$44:L$70,'Step 2 - Order Planner'!$C$44:$C$70,$K26)</f>
        <v>#VALUE!</v>
      </c>
      <c r="I26" s="60">
        <f t="shared" si="1"/>
        <v>0</v>
      </c>
      <c r="K26" s="20">
        <v>59012350</v>
      </c>
      <c r="L26" s="47"/>
    </row>
    <row r="27" spans="1:13" x14ac:dyDescent="0.2">
      <c r="A27" s="307" t="s">
        <v>28</v>
      </c>
      <c r="B27" s="58" t="s">
        <v>24</v>
      </c>
      <c r="C27" s="59"/>
      <c r="D27" s="60" t="e">
        <f>SUMIFS('Step 2 - Order Planner'!J$26:J$39,'Step 2 - Order Planner'!$C$26:$C$37,$K27)+SUMIFS('Step 2 - Order Planner'!J$44:J$70,'Step 2 - Order Planner'!$C$44:$C$70,$K27)</f>
        <v>#VALUE!</v>
      </c>
      <c r="E27" s="60">
        <f t="shared" si="0"/>
        <v>0</v>
      </c>
      <c r="F27" s="60" t="e">
        <f>SUMIFS('Step 2 - Order Planner'!K$26:K$39,'Step 2 - Order Planner'!$C$26:$C$37,$K27)+SUMIFS('Step 2 - Order Planner'!K$44:K$70,'Step 2 - Order Planner'!$C$44:$C$70,$K27)</f>
        <v>#VALUE!</v>
      </c>
      <c r="G27" s="60">
        <f t="shared" ref="G27:G30" si="3">IF(OR($C$16=0,$C$17=0),"Please Enter Acreage",IF(C27="Greens",F27/$C$17,IF(C27="Fairways",F27/$C$16,0)))</f>
        <v>0</v>
      </c>
      <c r="H27" s="60" t="e">
        <f>SUMIFS('Step 2 - Order Planner'!L$26:L$39,'Step 2 - Order Planner'!$C$26:$C$37,$K27)+SUMIFS('Step 2 - Order Planner'!L$44:L$70,'Step 2 - Order Planner'!$C$44:$C$70,$K27)</f>
        <v>#VALUE!</v>
      </c>
      <c r="I27" s="60">
        <f t="shared" si="1"/>
        <v>0</v>
      </c>
      <c r="K27" s="20">
        <v>59014135</v>
      </c>
      <c r="L27" s="47"/>
    </row>
    <row r="28" spans="1:13" x14ac:dyDescent="0.2">
      <c r="A28" s="307"/>
      <c r="B28" s="58" t="s">
        <v>29</v>
      </c>
      <c r="C28" s="59"/>
      <c r="D28" s="60" t="e">
        <f>SUMIFS('Step 2 - Order Planner'!J$26:J$39,'Step 2 - Order Planner'!$C$26:$C$37,$K28)+SUMIFS('Step 2 - Order Planner'!J$44:J$70,'Step 2 - Order Planner'!$C$44:$C$70,$K28)</f>
        <v>#VALUE!</v>
      </c>
      <c r="E28" s="60">
        <f t="shared" si="0"/>
        <v>0</v>
      </c>
      <c r="F28" s="60" t="e">
        <f>SUMIFS('Step 2 - Order Planner'!K$26:K$39,'Step 2 - Order Planner'!$C$26:$C$37,$K28)+SUMIFS('Step 2 - Order Planner'!K$44:K$70,'Step 2 - Order Planner'!$C$44:$C$70,$K28)</f>
        <v>#VALUE!</v>
      </c>
      <c r="G28" s="60">
        <f t="shared" ref="G28:G29" si="4">IF(OR($C$16=0,$C$17=0),"Please Enter Acreage",IF(C28="Greens",F28/$C$17,IF(C28="Fairways",F28/$C$16,0)))</f>
        <v>0</v>
      </c>
      <c r="H28" s="60" t="e">
        <f>SUMIFS('Step 2 - Order Planner'!L$26:L$39,'Step 2 - Order Planner'!$C$26:$C$37,$K28)+SUMIFS('Step 2 - Order Planner'!L$44:L$70,'Step 2 - Order Planner'!$C$44:$C$70,$K28)</f>
        <v>#VALUE!</v>
      </c>
      <c r="I28" s="60">
        <f t="shared" ref="I28:I29" si="5">IF(OR($C$16=0,$C$17=0),"Please Enter Acreage",IF(C28="Greens",H28/$C$17,IF(C28="Fairways",H28/$C$16,0)))</f>
        <v>0</v>
      </c>
      <c r="K28" s="20">
        <v>59014134</v>
      </c>
      <c r="L28" s="47"/>
    </row>
    <row r="29" spans="1:13" x14ac:dyDescent="0.2">
      <c r="A29" s="83" t="s">
        <v>25</v>
      </c>
      <c r="B29" s="58" t="s">
        <v>26</v>
      </c>
      <c r="C29" s="59"/>
      <c r="D29" s="60" t="e">
        <f>SUMIFS('Step 2 - Order Planner'!J$26:J$39,'Step 2 - Order Planner'!$C$26:$C$37,$K29)+SUMIFS('Step 2 - Order Planner'!J$44:J$70,'Step 2 - Order Planner'!$C$44:$C$70,$K29)</f>
        <v>#VALUE!</v>
      </c>
      <c r="E29" s="60">
        <f t="shared" si="0"/>
        <v>0</v>
      </c>
      <c r="F29" s="60" t="e">
        <f>SUMIFS('Step 2 - Order Planner'!K$26:K$39,'Step 2 - Order Planner'!$C$26:$C$37,$K29)+SUMIFS('Step 2 - Order Planner'!K$44:K$70,'Step 2 - Order Planner'!$C$44:$C$70,$K29)</f>
        <v>#VALUE!</v>
      </c>
      <c r="G29" s="60">
        <f t="shared" si="4"/>
        <v>0</v>
      </c>
      <c r="H29" s="60" t="e">
        <f>SUMIFS('Step 2 - Order Planner'!L$26:L$39,'Step 2 - Order Planner'!$C$26:$C$37,$K29)+SUMIFS('Step 2 - Order Planner'!L$44:L$70,'Step 2 - Order Planner'!$C$44:$C$70,$K29)</f>
        <v>#VALUE!</v>
      </c>
      <c r="I29" s="60">
        <f t="shared" si="5"/>
        <v>0</v>
      </c>
      <c r="K29" s="20">
        <v>59013840</v>
      </c>
      <c r="L29" s="47"/>
    </row>
    <row r="30" spans="1:13" x14ac:dyDescent="0.2">
      <c r="A30" s="307" t="s">
        <v>104</v>
      </c>
      <c r="B30" s="58" t="s">
        <v>97</v>
      </c>
      <c r="C30" s="59"/>
      <c r="D30" s="60" t="e">
        <f>SUMIFS('Step 2 - Order Planner'!J$26:J$39,'Step 2 - Order Planner'!$C$26:$C$37,$K30)+SUMIFS('Step 2 - Order Planner'!J$44:J$70,'Step 2 - Order Planner'!$C$44:$C$70,$K30)</f>
        <v>#VALUE!</v>
      </c>
      <c r="E30" s="60">
        <f t="shared" si="0"/>
        <v>0</v>
      </c>
      <c r="F30" s="60" t="e">
        <f>SUMIFS('Step 2 - Order Planner'!K$26:K$39,'Step 2 - Order Planner'!$C$26:$C$37,$K30)+SUMIFS('Step 2 - Order Planner'!K$44:K$70,'Step 2 - Order Planner'!$C$44:$C$70,$K30)</f>
        <v>#VALUE!</v>
      </c>
      <c r="G30" s="60">
        <f t="shared" si="3"/>
        <v>0</v>
      </c>
      <c r="H30" s="60" t="e">
        <f>SUMIFS('Step 2 - Order Planner'!L$26:L$39,'Step 2 - Order Planner'!$C$26:$C$37,$K30)+SUMIFS('Step 2 - Order Planner'!L$44:L$70,'Step 2 - Order Planner'!$C$44:$C$70,$K30)</f>
        <v>#VALUE!</v>
      </c>
      <c r="I30" s="60">
        <f t="shared" si="1"/>
        <v>0</v>
      </c>
      <c r="K30" s="20">
        <v>59018087</v>
      </c>
      <c r="L30" s="47"/>
    </row>
    <row r="31" spans="1:13" x14ac:dyDescent="0.2">
      <c r="A31" s="307"/>
      <c r="B31" s="58" t="s">
        <v>81</v>
      </c>
      <c r="C31" s="59"/>
      <c r="D31" s="60" t="e">
        <f>SUMIFS('Step 2 - Order Planner'!J$26:J$39,'Step 2 - Order Planner'!$C$26:$C$37,$K31)+SUMIFS('Step 2 - Order Planner'!J$44:J$70,'Step 2 - Order Planner'!$C$44:$C$70,$K31)</f>
        <v>#VALUE!</v>
      </c>
      <c r="E31" s="60">
        <f t="shared" si="0"/>
        <v>0</v>
      </c>
      <c r="F31" s="60" t="e">
        <f>SUMIFS('Step 2 - Order Planner'!K$26:K$39,'Step 2 - Order Planner'!$C$26:$C$37,$K31)+SUMIFS('Step 2 - Order Planner'!K$44:K$70,'Step 2 - Order Planner'!$C$44:$C$70,$K31)</f>
        <v>#VALUE!</v>
      </c>
      <c r="G31" s="60">
        <f t="shared" ref="G31:G33" si="6">IF(OR($C$16=0,$C$17=0),"Please Enter Acreage",IF(C31="Greens",F31/$C$17,IF(C31="Fairways",F31/$C$16,0)))</f>
        <v>0</v>
      </c>
      <c r="H31" s="60" t="e">
        <f>SUMIFS('Step 2 - Order Planner'!L$26:L$39,'Step 2 - Order Planner'!$C$26:$C$37,$K31)+SUMIFS('Step 2 - Order Planner'!L$44:L$70,'Step 2 - Order Planner'!$C$44:$C$70,$K31)</f>
        <v>#VALUE!</v>
      </c>
      <c r="I31" s="60">
        <f t="shared" si="1"/>
        <v>0</v>
      </c>
      <c r="K31" s="20">
        <v>59018071</v>
      </c>
      <c r="L31" s="56"/>
    </row>
    <row r="32" spans="1:13" x14ac:dyDescent="0.2">
      <c r="A32" s="307" t="s">
        <v>105</v>
      </c>
      <c r="B32" s="58" t="s">
        <v>98</v>
      </c>
      <c r="C32" s="59"/>
      <c r="D32" s="60" t="e">
        <f>SUMIFS('Step 2 - Order Planner'!J$26:J$39,'Step 2 - Order Planner'!$C$26:$C$37,$K32)+SUMIFS('Step 2 - Order Planner'!J$44:J$70,'Step 2 - Order Planner'!$C$44:$C$70,$K32)</f>
        <v>#VALUE!</v>
      </c>
      <c r="E32" s="60">
        <f t="shared" si="0"/>
        <v>0</v>
      </c>
      <c r="F32" s="60" t="e">
        <f>SUMIFS('Step 2 - Order Planner'!K$26:K$39,'Step 2 - Order Planner'!$C$26:$C$37,$K32)+SUMIFS('Step 2 - Order Planner'!K$44:K$70,'Step 2 - Order Planner'!$C$44:$C$70,$K32)</f>
        <v>#VALUE!</v>
      </c>
      <c r="G32" s="60">
        <f t="shared" si="6"/>
        <v>0</v>
      </c>
      <c r="H32" s="60" t="e">
        <f>SUMIFS('Step 2 - Order Planner'!L$26:L$39,'Step 2 - Order Planner'!$C$26:$C$37,$K32)+SUMIFS('Step 2 - Order Planner'!L$44:L$70,'Step 2 - Order Planner'!$C$44:$C$70,$K32)</f>
        <v>#VALUE!</v>
      </c>
      <c r="I32" s="60">
        <f t="shared" si="1"/>
        <v>0</v>
      </c>
      <c r="K32" s="20">
        <v>59018094</v>
      </c>
      <c r="L32" s="56"/>
    </row>
    <row r="33" spans="1:12" x14ac:dyDescent="0.2">
      <c r="A33" s="307"/>
      <c r="B33" s="58" t="s">
        <v>30</v>
      </c>
      <c r="C33" s="59"/>
      <c r="D33" s="60" t="e">
        <f>SUMIFS('Step 2 - Order Planner'!J$26:J$39,'Step 2 - Order Planner'!$C$26:$C$37,$K33)+SUMIFS('Step 2 - Order Planner'!J$44:J$70,'Step 2 - Order Planner'!$C$44:$C$70,$K33)</f>
        <v>#VALUE!</v>
      </c>
      <c r="E33" s="60">
        <f t="shared" si="0"/>
        <v>0</v>
      </c>
      <c r="F33" s="60" t="e">
        <f>SUMIFS('Step 2 - Order Planner'!K$26:K$39,'Step 2 - Order Planner'!$C$26:$C$37,$K33)+SUMIFS('Step 2 - Order Planner'!K$44:K$70,'Step 2 - Order Planner'!$C$44:$C$70,$K33)</f>
        <v>#VALUE!</v>
      </c>
      <c r="G33" s="60">
        <f t="shared" si="6"/>
        <v>0</v>
      </c>
      <c r="H33" s="60" t="e">
        <f>SUMIFS('Step 2 - Order Planner'!L$26:L$39,'Step 2 - Order Planner'!$C$26:$C$37,$K33)+SUMIFS('Step 2 - Order Planner'!L$44:L$70,'Step 2 - Order Planner'!$C$44:$C$70,$K33)</f>
        <v>#VALUE!</v>
      </c>
      <c r="I33" s="60">
        <f t="shared" si="1"/>
        <v>0</v>
      </c>
      <c r="K33" s="20">
        <v>59018095</v>
      </c>
      <c r="L33" s="56"/>
    </row>
    <row r="34" spans="1:12" x14ac:dyDescent="0.2">
      <c r="A34" s="307" t="s">
        <v>52</v>
      </c>
      <c r="B34" s="58" t="s">
        <v>94</v>
      </c>
      <c r="C34" s="59"/>
      <c r="D34" s="60" t="e">
        <f>SUMIFS('Step 2 - Order Planner'!J$26:J$39,'Step 2 - Order Planner'!$C$26:$C$37,$K34)+SUMIFS('Step 2 - Order Planner'!J$44:J$70,'Step 2 - Order Planner'!$C$44:$C$70,$K34)</f>
        <v>#VALUE!</v>
      </c>
      <c r="E34" s="60">
        <f t="shared" si="0"/>
        <v>0</v>
      </c>
      <c r="F34" s="60" t="e">
        <f>SUMIFS('Step 2 - Order Planner'!K$26:K$39,'Step 2 - Order Planner'!$C$26:$C$37,$K34)+SUMIFS('Step 2 - Order Planner'!K$44:K$70,'Step 2 - Order Planner'!$C$44:$C$70,$K34)</f>
        <v>#VALUE!</v>
      </c>
      <c r="G34" s="60">
        <f t="shared" ref="G34:G37" si="7">IF(OR($C$16=0,$C$17=0),"Please Enter Acreage",IF(C34="Greens",F34/$C$17,IF(C34="Fairways",F34/$C$16,0)))</f>
        <v>0</v>
      </c>
      <c r="H34" s="60" t="e">
        <f>SUMIFS('Step 2 - Order Planner'!L$26:L$39,'Step 2 - Order Planner'!$C$26:$C$37,$K34)+SUMIFS('Step 2 - Order Planner'!L$44:L$70,'Step 2 - Order Planner'!$C$44:$C$70,$K34)</f>
        <v>#VALUE!</v>
      </c>
      <c r="I34" s="60">
        <f t="shared" si="1"/>
        <v>0</v>
      </c>
      <c r="K34" s="20">
        <v>59017959</v>
      </c>
      <c r="L34" s="53"/>
    </row>
    <row r="35" spans="1:12" x14ac:dyDescent="0.2">
      <c r="A35" s="307"/>
      <c r="B35" s="58" t="s">
        <v>53</v>
      </c>
      <c r="C35" s="59"/>
      <c r="D35" s="60" t="e">
        <f>SUMIFS('Step 2 - Order Planner'!J$26:J$39,'Step 2 - Order Planner'!$C$26:$C$37,$K35)+SUMIFS('Step 2 - Order Planner'!J$44:J$70,'Step 2 - Order Planner'!$C$44:$C$70,$K35)</f>
        <v>#VALUE!</v>
      </c>
      <c r="E35" s="60">
        <f t="shared" si="0"/>
        <v>0</v>
      </c>
      <c r="F35" s="60" t="e">
        <f>SUMIFS('Step 2 - Order Planner'!K$26:K$39,'Step 2 - Order Planner'!$C$26:$C$37,$K35)+SUMIFS('Step 2 - Order Planner'!K$44:K$70,'Step 2 - Order Planner'!$C$44:$C$70,$K35)</f>
        <v>#VALUE!</v>
      </c>
      <c r="G35" s="60">
        <f t="shared" si="7"/>
        <v>0</v>
      </c>
      <c r="H35" s="60" t="e">
        <f>SUMIFS('Step 2 - Order Planner'!L$26:L$39,'Step 2 - Order Planner'!$C$26:$C$37,$K35)+SUMIFS('Step 2 - Order Planner'!L$44:L$70,'Step 2 - Order Planner'!$C$44:$C$70,$K35)</f>
        <v>#VALUE!</v>
      </c>
      <c r="I35" s="60">
        <f t="shared" si="1"/>
        <v>0</v>
      </c>
      <c r="K35" s="20">
        <v>59012784</v>
      </c>
      <c r="L35" s="47"/>
    </row>
    <row r="36" spans="1:12" x14ac:dyDescent="0.2">
      <c r="A36" s="307" t="s">
        <v>19</v>
      </c>
      <c r="B36" s="58" t="s">
        <v>20</v>
      </c>
      <c r="C36" s="59"/>
      <c r="D36" s="60" t="e">
        <f>SUMIFS('Step 2 - Order Planner'!J$26:J$39,'Step 2 - Order Planner'!$C$26:$C$37,$K36)+SUMIFS('Step 2 - Order Planner'!J$44:J$70,'Step 2 - Order Planner'!$C$44:$C$70,$K36)</f>
        <v>#VALUE!</v>
      </c>
      <c r="E36" s="60">
        <f>IF(OR($C$16=0,$C$17=0),"Please Enter Acreage",IF(C36="Greens",D36/$C$17,IF(C36="Fairways",D36/$C$16,0)))</f>
        <v>0</v>
      </c>
      <c r="F36" s="60" t="e">
        <f>SUMIFS('Step 2 - Order Planner'!K$26:K$39,'Step 2 - Order Planner'!$C$26:$C$37,$K36)+SUMIFS('Step 2 - Order Planner'!K$44:K$70,'Step 2 - Order Planner'!$C$44:$C$70,$K36)</f>
        <v>#VALUE!</v>
      </c>
      <c r="G36" s="60">
        <f t="shared" ref="G36" si="8">IF(OR($C$16=0,$C$17=0),"Please Enter Acreage",IF(C36="Greens",F36/$C$17,IF(C36="Fairways",F36/$C$16,0)))</f>
        <v>0</v>
      </c>
      <c r="H36" s="60" t="e">
        <f>SUMIFS('Step 2 - Order Planner'!L$26:L$39,'Step 2 - Order Planner'!$C$26:$C$37,$K36)+SUMIFS('Step 2 - Order Planner'!L$44:L$70,'Step 2 - Order Planner'!$C$44:$C$70,$K36)</f>
        <v>#VALUE!</v>
      </c>
      <c r="I36" s="60">
        <f t="shared" ref="I36" si="9">IF(OR($C$16=0,$C$17=0),"Please Enter Acreage",IF(C36="Greens",H36/$C$17,IF(C36="Fairways",H36/$C$16,0)))</f>
        <v>0</v>
      </c>
      <c r="K36" s="20">
        <v>59013833</v>
      </c>
      <c r="L36" s="47"/>
    </row>
    <row r="37" spans="1:12" x14ac:dyDescent="0.2">
      <c r="A37" s="307"/>
      <c r="B37" s="58" t="s">
        <v>9</v>
      </c>
      <c r="C37" s="59"/>
      <c r="D37" s="60" t="e">
        <f>SUMIFS('Step 2 - Order Planner'!J$26:J$39,'Step 2 - Order Planner'!$C$26:$C$37,$K37)+SUMIFS('Step 2 - Order Planner'!J$44:J$70,'Step 2 - Order Planner'!$C$44:$C$70,$K37)</f>
        <v>#VALUE!</v>
      </c>
      <c r="E37" s="60">
        <f t="shared" si="0"/>
        <v>0</v>
      </c>
      <c r="F37" s="60" t="e">
        <f>SUMIFS('Step 2 - Order Planner'!K$26:K$39,'Step 2 - Order Planner'!$C$26:$C$37,$K37)+SUMIFS('Step 2 - Order Planner'!K$44:K$70,'Step 2 - Order Planner'!$C$44:$C$70,$K37)</f>
        <v>#VALUE!</v>
      </c>
      <c r="G37" s="60">
        <f t="shared" si="7"/>
        <v>0</v>
      </c>
      <c r="H37" s="60" t="e">
        <f>SUMIFS('Step 2 - Order Planner'!L$26:L$39,'Step 2 - Order Planner'!$C$26:$C$37,$K37)+SUMIFS('Step 2 - Order Planner'!L$44:L$70,'Step 2 - Order Planner'!$C$44:$C$70,$K37)</f>
        <v>#VALUE!</v>
      </c>
      <c r="I37" s="60">
        <f t="shared" si="1"/>
        <v>0</v>
      </c>
      <c r="K37" s="20">
        <v>59014120</v>
      </c>
      <c r="L37" s="53"/>
    </row>
    <row r="40" spans="1:12" ht="12.75" customHeight="1" x14ac:dyDescent="0.2">
      <c r="A40" s="262" t="s">
        <v>101</v>
      </c>
      <c r="B40" s="262"/>
      <c r="C40" s="262"/>
      <c r="D40" s="262"/>
      <c r="E40" s="262"/>
      <c r="F40" s="262"/>
      <c r="G40" s="262"/>
      <c r="H40" s="262"/>
      <c r="I40" s="262"/>
    </row>
    <row r="41" spans="1:12" x14ac:dyDescent="0.2">
      <c r="A41" s="262"/>
      <c r="B41" s="262"/>
      <c r="C41" s="262"/>
      <c r="D41" s="262"/>
      <c r="E41" s="262"/>
      <c r="F41" s="262"/>
      <c r="G41" s="262"/>
      <c r="H41" s="262"/>
      <c r="I41" s="262"/>
    </row>
    <row r="42" spans="1:12" x14ac:dyDescent="0.2">
      <c r="A42" s="262"/>
      <c r="B42" s="262"/>
      <c r="C42" s="262"/>
      <c r="D42" s="262"/>
      <c r="E42" s="262"/>
      <c r="F42" s="262"/>
      <c r="G42" s="262"/>
      <c r="H42" s="262"/>
      <c r="I42" s="262"/>
    </row>
    <row r="43" spans="1:12" x14ac:dyDescent="0.2">
      <c r="A43" s="262"/>
      <c r="B43" s="262"/>
      <c r="C43" s="262"/>
      <c r="D43" s="262"/>
      <c r="E43" s="262"/>
      <c r="F43" s="262"/>
      <c r="G43" s="262"/>
      <c r="H43" s="262"/>
      <c r="I43" s="262"/>
    </row>
    <row r="44" spans="1:12" x14ac:dyDescent="0.2">
      <c r="A44" s="262"/>
      <c r="B44" s="262"/>
      <c r="C44" s="262"/>
      <c r="D44" s="262"/>
      <c r="E44" s="262"/>
      <c r="F44" s="262"/>
      <c r="G44" s="262"/>
      <c r="H44" s="262"/>
      <c r="I44" s="262"/>
    </row>
    <row r="45" spans="1:12" x14ac:dyDescent="0.2">
      <c r="A45" s="262"/>
      <c r="B45" s="262"/>
      <c r="C45" s="262"/>
      <c r="D45" s="262"/>
      <c r="E45" s="262"/>
      <c r="F45" s="262"/>
      <c r="G45" s="262"/>
      <c r="H45" s="262"/>
      <c r="I45" s="262"/>
    </row>
    <row r="46" spans="1:12" x14ac:dyDescent="0.2">
      <c r="A46" s="262"/>
      <c r="B46" s="262"/>
      <c r="C46" s="262"/>
      <c r="D46" s="262"/>
      <c r="E46" s="262"/>
      <c r="F46" s="262"/>
      <c r="G46" s="262"/>
      <c r="H46" s="262"/>
      <c r="I46" s="262"/>
    </row>
    <row r="47" spans="1:12" x14ac:dyDescent="0.2">
      <c r="A47" s="262"/>
      <c r="B47" s="262"/>
      <c r="C47" s="262"/>
      <c r="D47" s="262"/>
      <c r="E47" s="262"/>
      <c r="F47" s="262"/>
      <c r="G47" s="262"/>
      <c r="H47" s="262"/>
      <c r="I47" s="262"/>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40:I47"/>
    <mergeCell ref="A23:A24"/>
    <mergeCell ref="C21:C22"/>
    <mergeCell ref="A25:A26"/>
    <mergeCell ref="A21:A22"/>
    <mergeCell ref="B21:B22"/>
    <mergeCell ref="A36:A37"/>
    <mergeCell ref="A34:A35"/>
    <mergeCell ref="A32:A33"/>
    <mergeCell ref="A30:A31"/>
    <mergeCell ref="A27:A28"/>
    <mergeCell ref="A17:B17"/>
    <mergeCell ref="A16:B16"/>
    <mergeCell ref="H21:I21"/>
    <mergeCell ref="F21:G21"/>
    <mergeCell ref="D21:E21"/>
    <mergeCell ref="A20:I20"/>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1:G74"/>
  <sheetViews>
    <sheetView showGridLines="0" zoomScaleNormal="100" workbookViewId="0">
      <selection activeCell="F20" sqref="F20:F21"/>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1" spans="1:7" x14ac:dyDescent="0.2">
      <c r="A11" s="310" t="s">
        <v>265</v>
      </c>
      <c r="B11" s="310"/>
      <c r="C11" s="310"/>
      <c r="D11" s="310"/>
      <c r="E11" s="310"/>
      <c r="F11" s="310"/>
    </row>
    <row r="12" spans="1:7" x14ac:dyDescent="0.2">
      <c r="A12" s="310"/>
      <c r="B12" s="310"/>
      <c r="C12" s="310"/>
      <c r="D12" s="310"/>
      <c r="E12" s="310"/>
      <c r="F12" s="310"/>
    </row>
    <row r="13" spans="1:7" ht="25.5" x14ac:dyDescent="0.35">
      <c r="A13" s="23">
        <f ca="1">NOW()</f>
        <v>46220.471573495372</v>
      </c>
      <c r="D13" s="175" t="s">
        <v>68</v>
      </c>
      <c r="E13" s="176"/>
      <c r="F13" s="177"/>
    </row>
    <row r="14" spans="1:7" s="27" customFormat="1" ht="25.5" x14ac:dyDescent="0.35">
      <c r="A14" s="25" t="s">
        <v>60</v>
      </c>
      <c r="B14" s="25" t="s">
        <v>61</v>
      </c>
      <c r="C14" s="26"/>
      <c r="D14" s="314" t="s">
        <v>72</v>
      </c>
      <c r="E14" s="314"/>
      <c r="F14" s="178">
        <f>'Step 2 - Order Planner'!H21</f>
        <v>0</v>
      </c>
    </row>
    <row r="15" spans="1:7" s="28" customFormat="1" ht="15.75" x14ac:dyDescent="0.25">
      <c r="A15" s="28" t="s">
        <v>63</v>
      </c>
      <c r="B15" s="28" t="s">
        <v>70</v>
      </c>
      <c r="C15" s="29"/>
      <c r="D15" s="315" t="s">
        <v>219</v>
      </c>
      <c r="E15" s="315"/>
      <c r="F15" s="179">
        <f>'Step 2 - Order Planner'!B20</f>
        <v>0</v>
      </c>
      <c r="G15" s="30"/>
    </row>
    <row r="16" spans="1:7" s="28" customFormat="1" ht="15.75" x14ac:dyDescent="0.25">
      <c r="A16" s="28" t="s">
        <v>64</v>
      </c>
      <c r="B16" s="28" t="s">
        <v>64</v>
      </c>
      <c r="C16" s="29"/>
      <c r="D16" s="315" t="s">
        <v>212</v>
      </c>
      <c r="E16" s="315"/>
      <c r="F16" s="179">
        <f>'Step 2 - Order Planner'!B21</f>
        <v>0</v>
      </c>
      <c r="G16" s="30"/>
    </row>
    <row r="17" spans="1:7" s="28" customFormat="1" ht="15" x14ac:dyDescent="0.2">
      <c r="A17" s="28" t="s">
        <v>65</v>
      </c>
      <c r="B17" s="28" t="s">
        <v>65</v>
      </c>
      <c r="C17" s="29"/>
      <c r="D17" s="316" t="str">
        <f>'Step 2 - Order Planner'!A22</f>
        <v>Fairway Fungicide Kicker Rebate</v>
      </c>
      <c r="E17" s="316"/>
      <c r="F17" s="180">
        <f>'Step 2 - Order Planner'!B22</f>
        <v>0</v>
      </c>
    </row>
    <row r="18" spans="1:7" s="28" customFormat="1" ht="15" customHeight="1" x14ac:dyDescent="0.2">
      <c r="A18" s="28" t="s">
        <v>66</v>
      </c>
      <c r="B18" s="28" t="s">
        <v>66</v>
      </c>
      <c r="C18" s="29"/>
      <c r="D18" s="318" t="s">
        <v>287</v>
      </c>
      <c r="E18" s="318"/>
      <c r="F18" s="319">
        <f>'Step 2 - Order Planner'!H22</f>
        <v>0</v>
      </c>
    </row>
    <row r="19" spans="1:7" s="28" customFormat="1" ht="15" customHeight="1" x14ac:dyDescent="0.2">
      <c r="A19" s="28" t="s">
        <v>67</v>
      </c>
      <c r="B19" s="28" t="s">
        <v>67</v>
      </c>
      <c r="C19" s="29"/>
      <c r="D19" s="318"/>
      <c r="E19" s="318"/>
      <c r="F19" s="319"/>
      <c r="G19" s="190"/>
    </row>
    <row r="20" spans="1:7" ht="18" customHeight="1" x14ac:dyDescent="0.2">
      <c r="C20" s="31"/>
      <c r="D20" s="317" t="s">
        <v>71</v>
      </c>
      <c r="E20" s="317"/>
      <c r="F20" s="317">
        <f>'Step 2 - Order Planner'!H23</f>
        <v>0</v>
      </c>
    </row>
    <row r="21" spans="1:7" ht="12.75" customHeight="1" x14ac:dyDescent="0.2">
      <c r="C21" s="174"/>
      <c r="D21" s="317"/>
      <c r="E21" s="317"/>
      <c r="F21" s="317"/>
    </row>
    <row r="22" spans="1:7" s="35" customFormat="1" ht="20.25" x14ac:dyDescent="0.3">
      <c r="A22" s="32" t="s">
        <v>59</v>
      </c>
      <c r="B22" s="33"/>
      <c r="C22" s="174"/>
      <c r="D22" s="174"/>
      <c r="E22" s="34"/>
    </row>
    <row r="23" spans="1:7" x14ac:dyDescent="0.2">
      <c r="C23" s="31"/>
      <c r="E23" s="31"/>
    </row>
    <row r="24" spans="1:7" s="28" customFormat="1" ht="27" customHeight="1" x14ac:dyDescent="0.2">
      <c r="A24" s="140" t="s">
        <v>100</v>
      </c>
      <c r="B24" s="140" t="s">
        <v>0</v>
      </c>
      <c r="C24" s="141" t="s">
        <v>69</v>
      </c>
      <c r="D24" s="140" t="s">
        <v>76</v>
      </c>
      <c r="E24" s="140" t="s">
        <v>57</v>
      </c>
      <c r="F24" s="141" t="s">
        <v>58</v>
      </c>
    </row>
    <row r="25" spans="1:7" ht="15" x14ac:dyDescent="0.2">
      <c r="A25" s="36" t="str">
        <f>VLOOKUP($C25,'Article Reference'!$A$3:$D$53,2,FALSE)</f>
        <v>Emerald® fungicide</v>
      </c>
      <c r="B25" s="40" t="str">
        <f>VLOOKUP($C25,'Article Reference'!$A$3:$D$53,3,FALSE)</f>
        <v>10 x 0.49 lb</v>
      </c>
      <c r="C25" s="40">
        <v>4059021463</v>
      </c>
      <c r="D25" s="37">
        <f>VLOOKUP($C25,'Article Reference'!$A$3:$D$53,4,FALSE)</f>
        <v>1299.5</v>
      </c>
      <c r="E25" s="38">
        <f>VLOOKUP(C25,'Step 2 - Order Planner'!$C$26:$H$71,4,FALSE)+VLOOKUP(C25,'Step 2 - Order Planner'!$C$26:$H$71,6,FALSE)</f>
        <v>0</v>
      </c>
      <c r="F25" s="39">
        <f t="shared" ref="F25:F60" si="0">E25*D25</f>
        <v>0</v>
      </c>
    </row>
    <row r="26" spans="1:7" ht="15" x14ac:dyDescent="0.2">
      <c r="A26" s="36" t="str">
        <f>VLOOKUP($C26,'Article Reference'!$A$3:$D$53,2,FALSE)</f>
        <v>Encartis® fungicide</v>
      </c>
      <c r="B26" s="40" t="str">
        <f>VLOOKUP($C26,'Article Reference'!$A$3:$D$53,3,FALSE)</f>
        <v>2 x 2.5 gal</v>
      </c>
      <c r="C26" s="40">
        <v>4059014003</v>
      </c>
      <c r="D26" s="37">
        <f>VLOOKUP($C26,'Article Reference'!$A$3:$D$53,4,FALSE)</f>
        <v>714</v>
      </c>
      <c r="E26" s="38">
        <f>VLOOKUP(C26,'Step 2 - Order Planner'!$C$26:$H$71,4,FALSE)+VLOOKUP(C26,'Step 2 - Order Planner'!$C$26:$H$71,6,FALSE)</f>
        <v>0</v>
      </c>
      <c r="F26" s="39">
        <f t="shared" si="0"/>
        <v>0</v>
      </c>
    </row>
    <row r="27" spans="1:7" ht="15" x14ac:dyDescent="0.2">
      <c r="A27" s="36" t="str">
        <f>VLOOKUP($C27,'Article Reference'!$A$3:$D$53,2,FALSE)</f>
        <v>Honor® Intrinsic® brand fungicide</v>
      </c>
      <c r="B27" s="40" t="str">
        <f>VLOOKUP($C27,'Article Reference'!$A$3:$D$53,3,FALSE)</f>
        <v>6 x 3 lb</v>
      </c>
      <c r="C27" s="40">
        <v>4059012350</v>
      </c>
      <c r="D27" s="37">
        <f>VLOOKUP($C27,'Article Reference'!$A$3:$D$53,4,FALSE)</f>
        <v>3745.44</v>
      </c>
      <c r="E27" s="38">
        <f>VLOOKUP(C27,'Step 2 - Order Planner'!$C$26:$H$71,4,FALSE)+VLOOKUP(C27,'Step 2 - Order Planner'!$C$26:$H$71,6,FALSE)</f>
        <v>0</v>
      </c>
      <c r="F27" s="39">
        <f t="shared" si="0"/>
        <v>0</v>
      </c>
    </row>
    <row r="28" spans="1:7" ht="15" x14ac:dyDescent="0.2">
      <c r="A28" s="36" t="str">
        <f>VLOOKUP($C28,'Article Reference'!$A$3:$D$53,2,FALSE)</f>
        <v>Honor® Intrinsic® brand fungicide</v>
      </c>
      <c r="B28" s="40" t="str">
        <f>VLOOKUP($C28,'Article Reference'!$A$3:$D$53,3,FALSE)</f>
        <v>1 x 36 lb</v>
      </c>
      <c r="C28" s="40">
        <v>4059012885</v>
      </c>
      <c r="D28" s="37">
        <f>VLOOKUP($C28,'Article Reference'!$A$3:$D$53,4,FALSE)</f>
        <v>5434.56</v>
      </c>
      <c r="E28" s="38">
        <f>VLOOKUP(C28,'Step 2 - Order Planner'!$C$26:$H$71,4,FALSE)+VLOOKUP(C28,'Step 2 - Order Planner'!$C$26:$H$71,6,FALSE)</f>
        <v>0</v>
      </c>
      <c r="F28" s="39">
        <f t="shared" si="0"/>
        <v>0</v>
      </c>
    </row>
    <row r="29" spans="1:7" ht="15" x14ac:dyDescent="0.2">
      <c r="A29" s="36" t="str">
        <f>VLOOKUP($C29,'Article Reference'!$A$3:$D$53,2,FALSE)</f>
        <v>Insignia® SC Intrinsic® brand fungicide</v>
      </c>
      <c r="B29" s="40" t="str">
        <f>VLOOKUP($C29,'Article Reference'!$A$3:$D$53,3,FALSE)</f>
        <v>4 x 30.5 fl oz</v>
      </c>
      <c r="C29" s="40">
        <v>4059028038</v>
      </c>
      <c r="D29" s="37">
        <f>VLOOKUP($C29,'Article Reference'!$A$3:$D$53,4,FALSE)</f>
        <v>2426.6</v>
      </c>
      <c r="E29" s="38">
        <f>VLOOKUP(C29,'Step 2 - Order Planner'!$C$26:$H$71,4,FALSE)+VLOOKUP(C29,'Step 2 - Order Planner'!$C$26:$H$71,6,FALSE)</f>
        <v>0</v>
      </c>
      <c r="F29" s="39">
        <f t="shared" si="0"/>
        <v>0</v>
      </c>
    </row>
    <row r="30" spans="1:7" ht="15" x14ac:dyDescent="0.2">
      <c r="A30" s="36" t="str">
        <f>VLOOKUP($C30,'Article Reference'!$A$3:$D$53,2,FALSE)</f>
        <v>Insignia® SC Intrinsic® brand fungicide</v>
      </c>
      <c r="B30" s="40" t="str">
        <f>VLOOKUP($C30,'Article Reference'!$A$3:$D$53,3,FALSE)</f>
        <v>2 x 2.5 gal</v>
      </c>
      <c r="C30" s="40">
        <v>4059028040</v>
      </c>
      <c r="D30" s="37">
        <f>VLOOKUP($C30,'Article Reference'!$A$3:$D$53,4,FALSE)</f>
        <v>7894.8</v>
      </c>
      <c r="E30" s="38">
        <f>VLOOKUP(C30,'Step 2 - Order Planner'!$C$26:$H$71,4,FALSE)+VLOOKUP(C30,'Step 2 - Order Planner'!$C$26:$H$71,6,FALSE)</f>
        <v>0</v>
      </c>
      <c r="F30" s="39">
        <f t="shared" si="0"/>
        <v>0</v>
      </c>
    </row>
    <row r="31" spans="1:7" ht="15" x14ac:dyDescent="0.2">
      <c r="A31" s="36" t="str">
        <f>VLOOKUP($C31,'Article Reference'!$A$3:$D$53,2,FALSE)</f>
        <v>Lexicon® Intrinsic® brand fungicide</v>
      </c>
      <c r="B31" s="40" t="str">
        <f>VLOOKUP($C31,'Article Reference'!$A$3:$D$53,3,FALSE)</f>
        <v>4 x 21 oz</v>
      </c>
      <c r="C31" s="40">
        <v>4059027998</v>
      </c>
      <c r="D31" s="37">
        <f>VLOOKUP($C31,'Article Reference'!$A$3:$D$53,4,FALSE)</f>
        <v>2635.08</v>
      </c>
      <c r="E31" s="38">
        <f>VLOOKUP(C31,'Step 2 - Order Planner'!$C$26:$H$71,4,FALSE)+VLOOKUP(C31,'Step 2 - Order Planner'!$C$26:$H$71,6,FALSE)</f>
        <v>0</v>
      </c>
      <c r="F31" s="39">
        <f t="shared" si="0"/>
        <v>0</v>
      </c>
    </row>
    <row r="32" spans="1:7" ht="15" x14ac:dyDescent="0.2">
      <c r="A32" s="36" t="str">
        <f>VLOOKUP($C32,'Article Reference'!$A$3:$D$53,2,FALSE)</f>
        <v>Maxtima® fungicide</v>
      </c>
      <c r="B32" s="40" t="str">
        <f>VLOOKUP($C32,'Article Reference'!$A$3:$D$53,3,FALSE)</f>
        <v>4 x 26 oz</v>
      </c>
      <c r="C32" s="40">
        <v>4059018087</v>
      </c>
      <c r="D32" s="37">
        <f>VLOOKUP($C32,'Article Reference'!$A$3:$D$53,4,FALSE)</f>
        <v>997.36</v>
      </c>
      <c r="E32" s="38">
        <f>VLOOKUP(C32,'Step 2 - Order Planner'!$C$26:$H$71,4,FALSE)+VLOOKUP(C32,'Step 2 - Order Planner'!$C$26:$H$71,6,FALSE)</f>
        <v>0</v>
      </c>
      <c r="F32" s="39">
        <f t="shared" si="0"/>
        <v>0</v>
      </c>
    </row>
    <row r="33" spans="1:6" ht="15" x14ac:dyDescent="0.2">
      <c r="A33" s="36" t="str">
        <f>VLOOKUP($C33,'Article Reference'!$A$3:$D$53,2,FALSE)</f>
        <v>Maxtima® fungicide</v>
      </c>
      <c r="B33" s="40" t="str">
        <f>VLOOKUP($C33,'Article Reference'!$A$3:$D$53,3,FALSE)</f>
        <v>2 x 2.5 gal</v>
      </c>
      <c r="C33" s="40">
        <v>4059018071</v>
      </c>
      <c r="D33" s="37">
        <f>VLOOKUP($C33,'Article Reference'!$A$3:$D$53,4,FALSE)</f>
        <v>4896</v>
      </c>
      <c r="E33" s="38">
        <f>VLOOKUP(C33,'Step 2 - Order Planner'!$C$26:$H$71,4,FALSE)+VLOOKUP(C33,'Step 2 - Order Planner'!$C$26:$H$71,6,FALSE)</f>
        <v>0</v>
      </c>
      <c r="F33" s="39">
        <f t="shared" si="0"/>
        <v>0</v>
      </c>
    </row>
    <row r="34" spans="1:6" ht="15" x14ac:dyDescent="0.2">
      <c r="A34" s="36" t="str">
        <f>VLOOKUP($C34,'Article Reference'!$A$3:$D$53,2,FALSE)</f>
        <v>Navicon® Intrinsic® brand fungicide</v>
      </c>
      <c r="B34" s="40" t="str">
        <f>VLOOKUP($C34,'Article Reference'!$A$3:$D$53,3,FALSE)</f>
        <v>4 x 37 fl oz</v>
      </c>
      <c r="C34" s="40">
        <v>4059018094</v>
      </c>
      <c r="D34" s="37">
        <f>VLOOKUP($C34,'Article Reference'!$A$3:$D$53,4,FALSE)</f>
        <v>2415.36</v>
      </c>
      <c r="E34" s="38">
        <f>VLOOKUP(C34,'Step 2 - Order Planner'!$C$26:$H$71,4,FALSE)+VLOOKUP(C34,'Step 2 - Order Planner'!$C$26:$H$71,6,FALSE)</f>
        <v>0</v>
      </c>
      <c r="F34" s="39">
        <f t="shared" si="0"/>
        <v>0</v>
      </c>
    </row>
    <row r="35" spans="1:6" ht="15" x14ac:dyDescent="0.2">
      <c r="A35" s="36" t="str">
        <f>VLOOKUP($C35,'Article Reference'!$A$3:$D$53,2,FALSE)</f>
        <v>Navicon® Intrinsic® brand fungicide</v>
      </c>
      <c r="B35" s="40" t="str">
        <f>VLOOKUP($C35,'Article Reference'!$A$3:$D$53,3,FALSE)</f>
        <v>2 x 2.5 gal</v>
      </c>
      <c r="C35" s="40">
        <v>4059018095</v>
      </c>
      <c r="D35" s="37">
        <f>VLOOKUP($C35,'Article Reference'!$A$3:$D$53,4,FALSE)</f>
        <v>7650</v>
      </c>
      <c r="E35" s="38">
        <f>VLOOKUP(C35,'Step 2 - Order Planner'!$C$26:$H$71,4,FALSE)+VLOOKUP(C35,'Step 2 - Order Planner'!$C$26:$H$71,6,FALSE)</f>
        <v>0</v>
      </c>
      <c r="F35" s="39">
        <f t="shared" si="0"/>
        <v>0</v>
      </c>
    </row>
    <row r="36" spans="1:6" ht="15" x14ac:dyDescent="0.2">
      <c r="A36" s="36" t="str">
        <f>VLOOKUP($C36,'Article Reference'!$A$3:$D$53,2,FALSE)</f>
        <v>Xzemplar® fungicide</v>
      </c>
      <c r="B36" s="40" t="str">
        <f>VLOOKUP($C36,'Article Reference'!$A$3:$D$53,3,FALSE)</f>
        <v>4 x 11.4 oz</v>
      </c>
      <c r="C36" s="40">
        <v>4059014120</v>
      </c>
      <c r="D36" s="37">
        <f>VLOOKUP($C36,'Article Reference'!$A$3:$D$53,4,FALSE)</f>
        <v>904.24</v>
      </c>
      <c r="E36" s="38">
        <f>VLOOKUP(C36,'Step 2 - Order Planner'!$C$26:$H$71,4,FALSE)+VLOOKUP(C36,'Step 2 - Order Planner'!$C$26:$H$71,6,FALSE)</f>
        <v>0</v>
      </c>
      <c r="F36" s="39">
        <f t="shared" si="0"/>
        <v>0</v>
      </c>
    </row>
    <row r="37" spans="1:6" ht="15" x14ac:dyDescent="0.2">
      <c r="A37" s="36" t="str">
        <f>VLOOKUP($C37,'Article Reference'!$A$3:$D$53,2,FALSE)</f>
        <v>Xzemplar® fungicide</v>
      </c>
      <c r="B37" s="40" t="str">
        <f>VLOOKUP($C37,'Article Reference'!$A$3:$D$53,3,FALSE)</f>
        <v>2 x 114 oz</v>
      </c>
      <c r="C37" s="40">
        <v>4059013833</v>
      </c>
      <c r="D37" s="37">
        <f>VLOOKUP($C37,'Article Reference'!$A$3:$D$53,4,FALSE)</f>
        <v>3775.68</v>
      </c>
      <c r="E37" s="38">
        <f>VLOOKUP(C37,'Step 2 - Order Planner'!$C$26:$H$71,4,FALSE)+VLOOKUP(C37,'Step 2 - Order Planner'!$C$26:$H$71,6,FALSE)</f>
        <v>0</v>
      </c>
      <c r="F37" s="39">
        <f t="shared" si="0"/>
        <v>0</v>
      </c>
    </row>
    <row r="38" spans="1:6" ht="15.75" customHeight="1" x14ac:dyDescent="0.2">
      <c r="A38" s="311" t="s">
        <v>239</v>
      </c>
      <c r="B38" s="312"/>
      <c r="C38" s="312"/>
      <c r="D38" s="312"/>
      <c r="E38" s="313"/>
      <c r="F38" s="149">
        <f>'Step 2 - Order Planner'!H17</f>
        <v>0</v>
      </c>
    </row>
    <row r="39" spans="1:6" ht="15" x14ac:dyDescent="0.2">
      <c r="A39" s="36" t="str">
        <f>VLOOKUP($C39,'Article Reference'!$A$3:$D$53,2,FALSE)</f>
        <v>Amdro Pro Fire Ant Bait</v>
      </c>
      <c r="B39" s="40" t="str">
        <f>VLOOKUP($C39,'Article Reference'!$A$3:$D$53,3,FALSE)</f>
        <v>1 x 25lbs</v>
      </c>
      <c r="C39" s="40">
        <v>4059021451</v>
      </c>
      <c r="D39" s="37">
        <f>VLOOKUP($C39,'Article Reference'!$A$3:$D$53,4,FALSE)</f>
        <v>669.38</v>
      </c>
      <c r="E39" s="38">
        <f>VLOOKUP(C39,'Step 2 - Order Planner'!$C$26:$H$71,4,FALSE)+VLOOKUP(C39,'Step 2 - Order Planner'!$C$26:$H$71,6,FALSE)</f>
        <v>0</v>
      </c>
      <c r="F39" s="39">
        <f t="shared" ref="F39" si="1">E39*D39</f>
        <v>0</v>
      </c>
    </row>
    <row r="40" spans="1:6" ht="15" x14ac:dyDescent="0.2">
      <c r="A40" s="36" t="str">
        <f>VLOOKUP($C40,'Article Reference'!$A$3:$D$53,2,FALSE)</f>
        <v>Sultan® miticide</v>
      </c>
      <c r="B40" s="40" t="str">
        <f>VLOOKUP($C40,'Article Reference'!$A$3:$D$53,3,FALSE)</f>
        <v>4 x 0.125 gal</v>
      </c>
      <c r="C40" s="40">
        <v>4059023753</v>
      </c>
      <c r="D40" s="37">
        <f>VLOOKUP($C40,'Article Reference'!$A$3:$D$53,4,FALSE)</f>
        <v>775.2</v>
      </c>
      <c r="E40" s="38">
        <f>VLOOKUP(C40,'Step 2 - Order Planner'!$C$26:$H$71,4,FALSE)+VLOOKUP(C40,'Step 2 - Order Planner'!$C$26:$H$71,6,FALSE)</f>
        <v>0</v>
      </c>
      <c r="F40" s="39">
        <f t="shared" si="0"/>
        <v>0</v>
      </c>
    </row>
    <row r="41" spans="1:6" ht="15" x14ac:dyDescent="0.2">
      <c r="A41" s="36" t="str">
        <f>VLOOKUP($C41,'Article Reference'!$A$3:$D$53,2,FALSE)</f>
        <v>Ventigra® insecticide</v>
      </c>
      <c r="B41" s="40" t="str">
        <f>VLOOKUP($C41,'Article Reference'!$A$3:$D$53,3,FALSE)</f>
        <v>4 x 20 oz</v>
      </c>
      <c r="C41" s="40">
        <v>4059014680</v>
      </c>
      <c r="D41" s="37">
        <f>VLOOKUP($C41,'Article Reference'!$A$3:$D$53,4,FALSE)</f>
        <v>1442.4</v>
      </c>
      <c r="E41" s="38">
        <f>VLOOKUP(C41,'Step 2 - Order Planner'!$C$26:$H$71,4,FALSE)+VLOOKUP(C41,'Step 2 - Order Planner'!$C$26:$H$71,6,FALSE)</f>
        <v>0</v>
      </c>
      <c r="F41" s="39">
        <f t="shared" si="0"/>
        <v>0</v>
      </c>
    </row>
    <row r="42" spans="1:6" ht="15" x14ac:dyDescent="0.2">
      <c r="A42" s="36" t="str">
        <f>VLOOKUP($C42,'Article Reference'!$A$3:$D$53,2,FALSE)</f>
        <v>Orkestra® Intrinsic® brand Fungicide</v>
      </c>
      <c r="B42" s="40" t="str">
        <f>VLOOKUP($C42,'Article Reference'!$A$3:$D$53,3,FALSE)</f>
        <v>4 x 16 oz</v>
      </c>
      <c r="C42" s="40">
        <v>4059014379</v>
      </c>
      <c r="D42" s="37">
        <f>VLOOKUP($C42,'Article Reference'!$A$3:$D$53,4,FALSE)</f>
        <v>684.8</v>
      </c>
      <c r="E42" s="38">
        <f>VLOOKUP(C42,'Step 2 - Order Planner'!$C$26:$H$71,4,FALSE)+VLOOKUP(C42,'Step 2 - Order Planner'!$C$26:$H$71,6,FALSE)</f>
        <v>0</v>
      </c>
      <c r="F42" s="39">
        <f t="shared" si="0"/>
        <v>0</v>
      </c>
    </row>
    <row r="43" spans="1:6" ht="15" x14ac:dyDescent="0.2">
      <c r="A43" s="36" t="str">
        <f>VLOOKUP($C43,'Article Reference'!$A$3:$D$53,2,FALSE)</f>
        <v>Pageant® Intrinsic® brand Fungicide</v>
      </c>
      <c r="B43" s="40" t="str">
        <f>VLOOKUP($C43,'Article Reference'!$A$3:$D$53,3,FALSE)</f>
        <v>4 x 1 lb</v>
      </c>
      <c r="C43" s="40">
        <v>4059012349</v>
      </c>
      <c r="D43" s="37">
        <f>VLOOKUP($C43,'Article Reference'!$A$3:$D$53,4,FALSE)</f>
        <v>483.28</v>
      </c>
      <c r="E43" s="38">
        <f>VLOOKUP(C43,'Step 2 - Order Planner'!$C$26:$H$71,4,FALSE)+VLOOKUP(C43,'Step 2 - Order Planner'!$C$26:$H$71,6,FALSE)</f>
        <v>0</v>
      </c>
      <c r="F43" s="39">
        <f t="shared" ref="F43" si="2">E43*D43</f>
        <v>0</v>
      </c>
    </row>
    <row r="44" spans="1:6" ht="15" x14ac:dyDescent="0.2">
      <c r="A44" s="36" t="str">
        <f>VLOOKUP($C44,'Article Reference'!$A$3:$D$53,2,FALSE)</f>
        <v>Basagran® herbicide</v>
      </c>
      <c r="B44" s="40" t="str">
        <f>VLOOKUP($C44,'Article Reference'!$A$3:$D$53,3,FALSE)</f>
        <v>2 x 1 gal</v>
      </c>
      <c r="C44" s="40">
        <v>4059011636</v>
      </c>
      <c r="D44" s="37">
        <f>VLOOKUP($C44,'Article Reference'!$A$3:$D$53,4,FALSE)</f>
        <v>130.06</v>
      </c>
      <c r="E44" s="38">
        <f>VLOOKUP(C44,'Step 2 - Order Planner'!$C$26:$H$71,4,FALSE)+VLOOKUP(C44,'Step 2 - Order Planner'!$C$26:$H$71,6,FALSE)</f>
        <v>0</v>
      </c>
      <c r="F44" s="39">
        <f t="shared" si="0"/>
        <v>0</v>
      </c>
    </row>
    <row r="45" spans="1:6" ht="15" x14ac:dyDescent="0.2">
      <c r="A45" s="36" t="str">
        <f>VLOOKUP($C45,'Article Reference'!$A$3:$D$53,2,FALSE)</f>
        <v>Drive® XLR8 herbicide</v>
      </c>
      <c r="B45" s="40" t="str">
        <f>VLOOKUP($C45,'Article Reference'!$A$3:$D$53,3,FALSE)</f>
        <v>4 x 0.5 gal</v>
      </c>
      <c r="C45" s="40">
        <v>4059030455</v>
      </c>
      <c r="D45" s="37">
        <f>VLOOKUP($C45,'Article Reference'!$A$3:$D$53,4,FALSE)</f>
        <v>232.72</v>
      </c>
      <c r="E45" s="38">
        <f>VLOOKUP(C45,'Step 2 - Order Planner'!$C$26:$H$71,4,FALSE)+VLOOKUP(C45,'Step 2 - Order Planner'!$C$26:$H$71,6,FALSE)</f>
        <v>0</v>
      </c>
      <c r="F45" s="39">
        <f t="shared" si="0"/>
        <v>0</v>
      </c>
    </row>
    <row r="46" spans="1:6" ht="15" x14ac:dyDescent="0.2">
      <c r="A46" s="36" t="str">
        <f>VLOOKUP($C46,'Article Reference'!$A$3:$D$53,2,FALSE)</f>
        <v>Drive® XLR8 herbicide</v>
      </c>
      <c r="B46" s="40" t="str">
        <f>VLOOKUP($C46,'Article Reference'!$A$3:$D$53,3,FALSE)</f>
        <v>2 x 2.5 gal</v>
      </c>
      <c r="C46" s="40">
        <v>4059030454</v>
      </c>
      <c r="D46" s="37">
        <f>VLOOKUP($C46,'Article Reference'!$A$3:$D$53,4,FALSE)</f>
        <v>540.32000000000005</v>
      </c>
      <c r="E46" s="38">
        <f>VLOOKUP(C46,'Step 2 - Order Planner'!$C$26:$H$71,4,FALSE)+VLOOKUP(C46,'Step 2 - Order Planner'!$C$26:$H$71,6,FALSE)</f>
        <v>0</v>
      </c>
      <c r="F46" s="39">
        <f t="shared" si="0"/>
        <v>0</v>
      </c>
    </row>
    <row r="47" spans="1:6" ht="15" x14ac:dyDescent="0.2">
      <c r="A47" s="36" t="str">
        <f>VLOOKUP($C47,'Article Reference'!$A$3:$D$53,2,FALSE)</f>
        <v>Pendulum® 2G herbicide</v>
      </c>
      <c r="B47" s="40" t="str">
        <f>VLOOKUP($C47,'Article Reference'!$A$3:$D$53,3,FALSE)</f>
        <v>20 lbs bag</v>
      </c>
      <c r="C47" s="40">
        <v>4059017972</v>
      </c>
      <c r="D47" s="37">
        <f>VLOOKUP($C47,'Article Reference'!$A$3:$D$53,4,FALSE)</f>
        <v>54.25</v>
      </c>
      <c r="E47" s="38">
        <f>VLOOKUP(C47,'Step 2 - Order Planner'!$C$26:$H$71,4,FALSE)+VLOOKUP(C47,'Step 2 - Order Planner'!$C$26:$H$71,6,FALSE)</f>
        <v>0</v>
      </c>
      <c r="F47" s="39">
        <f t="shared" si="0"/>
        <v>0</v>
      </c>
    </row>
    <row r="48" spans="1:6" ht="15" x14ac:dyDescent="0.2">
      <c r="A48" s="36" t="str">
        <f>VLOOKUP($C48,'Article Reference'!$A$3:$D$53,2,FALSE)</f>
        <v>Pendulum® 2G herbicide</v>
      </c>
      <c r="B48" s="40" t="str">
        <f>VLOOKUP($C48,'Article Reference'!$A$3:$D$53,3,FALSE)</f>
        <v>40 lbs bag</v>
      </c>
      <c r="C48" s="40">
        <v>4059015072</v>
      </c>
      <c r="D48" s="37">
        <f>VLOOKUP($C48,'Article Reference'!$A$3:$D$53,4,FALSE)</f>
        <v>95.5</v>
      </c>
      <c r="E48" s="38">
        <f>VLOOKUP(C48,'Step 2 - Order Planner'!$C$26:$H$71,4,FALSE)+VLOOKUP(C48,'Step 2 - Order Planner'!$C$26:$H$71,6,FALSE)</f>
        <v>0</v>
      </c>
      <c r="F48" s="39">
        <f t="shared" si="0"/>
        <v>0</v>
      </c>
    </row>
    <row r="49" spans="1:6" ht="15" x14ac:dyDescent="0.2">
      <c r="A49" s="36" t="str">
        <f>VLOOKUP($C49,'Article Reference'!$A$3:$D$53,2,FALSE)</f>
        <v>Pendulum® AquaCap herbicide</v>
      </c>
      <c r="B49" s="40" t="str">
        <f>VLOOKUP($C49,'Article Reference'!$A$3:$D$53,3,FALSE)</f>
        <v>2 x 2.5 gal</v>
      </c>
      <c r="C49" s="40">
        <v>4059049276</v>
      </c>
      <c r="D49" s="37">
        <f>VLOOKUP($C49,'Article Reference'!$A$3:$D$53,4,FALSE)</f>
        <v>299.62</v>
      </c>
      <c r="E49" s="38">
        <f>VLOOKUP(C49,'Step 2 - Order Planner'!$C$26:$H$71,4,FALSE)+VLOOKUP(C49,'Step 2 - Order Planner'!$C$26:$H$71,6,FALSE)</f>
        <v>0</v>
      </c>
      <c r="F49" s="39">
        <f t="shared" ref="F49:F59" si="3">E49*D49</f>
        <v>0</v>
      </c>
    </row>
    <row r="50" spans="1:6" ht="15" x14ac:dyDescent="0.2">
      <c r="A50" s="36" t="str">
        <f>VLOOKUP($C50,'Article Reference'!$A$3:$D$53,2,FALSE)</f>
        <v>Pendulum® AquaCap herbicide</v>
      </c>
      <c r="B50" s="40" t="str">
        <f>VLOOKUP($C50,'Article Reference'!$A$3:$D$53,3,FALSE)</f>
        <v>1 x 15 gal</v>
      </c>
      <c r="C50" s="40">
        <v>4059011279</v>
      </c>
      <c r="D50" s="37">
        <f>VLOOKUP($C50,'Article Reference'!$A$3:$D$53,4,FALSE)</f>
        <v>1071</v>
      </c>
      <c r="E50" s="38">
        <f>VLOOKUP(C50,'Step 2 - Order Planner'!$C$26:$H$71,4,FALSE)+VLOOKUP(C50,'Step 2 - Order Planner'!$C$26:$H$71,6,FALSE)</f>
        <v>0</v>
      </c>
      <c r="F50" s="39">
        <f t="shared" si="3"/>
        <v>0</v>
      </c>
    </row>
    <row r="51" spans="1:6" ht="15" x14ac:dyDescent="0.2">
      <c r="A51" s="36" t="str">
        <f>VLOOKUP($C51,'Article Reference'!$A$3:$D$53,2,FALSE)</f>
        <v>Pylex® herbicide</v>
      </c>
      <c r="B51" s="40" t="str">
        <f>VLOOKUP($C51,'Article Reference'!$A$3:$D$53,3,FALSE)</f>
        <v>4 x 4 oz</v>
      </c>
      <c r="C51" s="40">
        <v>4059018005</v>
      </c>
      <c r="D51" s="37">
        <f>VLOOKUP($C51,'Article Reference'!$A$3:$D$53,4,FALSE)</f>
        <v>1697.28</v>
      </c>
      <c r="E51" s="38">
        <f>VLOOKUP(C51,'Step 2 - Order Planner'!$C$26:$H$71,4,FALSE)+VLOOKUP(C51,'Step 2 - Order Planner'!$C$26:$H$71,6,FALSE)</f>
        <v>0</v>
      </c>
      <c r="F51" s="39">
        <f>E51*D51</f>
        <v>0</v>
      </c>
    </row>
    <row r="52" spans="1:6" ht="15" x14ac:dyDescent="0.2">
      <c r="A52" s="36" t="str">
        <f>VLOOKUP($C52,'Article Reference'!$A$3:$D$53,2,FALSE)</f>
        <v>Segment® II herbicide</v>
      </c>
      <c r="B52" s="40" t="str">
        <f>VLOOKUP($C52,'Article Reference'!$A$3:$D$53,3,FALSE)</f>
        <v>2 x 2.5 gal</v>
      </c>
      <c r="C52" s="40">
        <v>4059014427</v>
      </c>
      <c r="D52" s="37">
        <f>VLOOKUP($C52,'Article Reference'!$A$3:$D$53,4,FALSE)</f>
        <v>1787.5</v>
      </c>
      <c r="E52" s="38">
        <f>VLOOKUP(C52,'Step 2 - Order Planner'!$C$26:$H$71,4,FALSE)+VLOOKUP(C52,'Step 2 - Order Planner'!$C$26:$H$71,6,FALSE)</f>
        <v>0</v>
      </c>
      <c r="F52" s="39">
        <f t="shared" si="3"/>
        <v>0</v>
      </c>
    </row>
    <row r="53" spans="1:6" ht="15" x14ac:dyDescent="0.2">
      <c r="A53" s="36" t="str">
        <f>VLOOKUP($C53,'Article Reference'!$A$3:$D$53,2,FALSE)</f>
        <v>Admiral® lake colorant</v>
      </c>
      <c r="B53" s="40" t="str">
        <f>VLOOKUP($C53,'Article Reference'!$A$3:$D$53,3,FALSE)</f>
        <v>4 x 1 gal</v>
      </c>
      <c r="C53" s="40">
        <v>4059014151</v>
      </c>
      <c r="D53" s="37">
        <f>VLOOKUP($C53,'Article Reference'!$A$3:$D$53,4,FALSE)</f>
        <v>300.92</v>
      </c>
      <c r="E53" s="38">
        <f>VLOOKUP(C53,'Step 2 - Order Planner'!$C$26:$H$71,4,FALSE)+VLOOKUP(C53,'Step 2 - Order Planner'!$C$26:$H$71,6,FALSE)</f>
        <v>0</v>
      </c>
      <c r="F53" s="39">
        <f t="shared" ref="F53" si="4">E53*D53</f>
        <v>0</v>
      </c>
    </row>
    <row r="54" spans="1:6" ht="15" x14ac:dyDescent="0.2">
      <c r="A54" s="36" t="str">
        <f>VLOOKUP($C54,'Article Reference'!$A$3:$D$53,2,FALSE)</f>
        <v>Black Onyx lake &amp; pond colorant</v>
      </c>
      <c r="B54" s="40" t="str">
        <f>VLOOKUP($C54,'Article Reference'!$A$3:$D$53,3,FALSE)</f>
        <v>4 x 1 gal</v>
      </c>
      <c r="C54" s="40">
        <v>4059013424</v>
      </c>
      <c r="D54" s="37">
        <f>VLOOKUP($C54,'Article Reference'!$A$3:$D$53,4,FALSE)</f>
        <v>515.12</v>
      </c>
      <c r="E54" s="38">
        <f>VLOOKUP(C54,'Step 2 - Order Planner'!$C$26:$H$71,4,FALSE)+VLOOKUP(C54,'Step 2 - Order Planner'!$C$26:$H$71,6,FALSE)</f>
        <v>0</v>
      </c>
      <c r="F54" s="39">
        <f t="shared" si="3"/>
        <v>0</v>
      </c>
    </row>
    <row r="55" spans="1:6" ht="15" x14ac:dyDescent="0.2">
      <c r="A55" s="36" t="str">
        <f>VLOOKUP($C55,'Article Reference'!$A$3:$D$53,2,FALSE)</f>
        <v>Green Lawnger® colorant</v>
      </c>
      <c r="B55" s="40" t="str">
        <f>VLOOKUP($C55,'Article Reference'!$A$3:$D$53,3,FALSE)</f>
        <v>2 x 2.5 gal</v>
      </c>
      <c r="C55" s="40">
        <v>4059030464</v>
      </c>
      <c r="D55" s="37">
        <f>VLOOKUP($C55,'Article Reference'!$A$3:$D$53,4,FALSE)</f>
        <v>446.26</v>
      </c>
      <c r="E55" s="38">
        <f>VLOOKUP(C55,'Step 2 - Order Planner'!$C$26:$H$71,4,FALSE)+VLOOKUP(C55,'Step 2 - Order Planner'!$C$26:$H$71,6,FALSE)</f>
        <v>0</v>
      </c>
      <c r="F55" s="39">
        <f t="shared" si="3"/>
        <v>0</v>
      </c>
    </row>
    <row r="56" spans="1:6" ht="15" x14ac:dyDescent="0.2">
      <c r="A56" s="36" t="str">
        <f>VLOOKUP($C56,'Article Reference'!$A$3:$D$53,2,FALSE)</f>
        <v>Green Lawnger® Transition HC colorant</v>
      </c>
      <c r="B56" s="40" t="str">
        <f>VLOOKUP($C56,'Article Reference'!$A$3:$D$53,3,FALSE)</f>
        <v>4 x 1 gal</v>
      </c>
      <c r="C56" s="40">
        <v>4059030456</v>
      </c>
      <c r="D56" s="37">
        <f>VLOOKUP($C56,'Article Reference'!$A$3:$D$53,4,FALSE)</f>
        <v>938.4</v>
      </c>
      <c r="E56" s="38">
        <f>VLOOKUP(C56,'Step 2 - Order Planner'!$C$26:$H$71,4,FALSE)+VLOOKUP(C56,'Step 2 - Order Planner'!$C$26:$H$71,6,FALSE)</f>
        <v>0</v>
      </c>
      <c r="F56" s="39">
        <f t="shared" si="3"/>
        <v>0</v>
      </c>
    </row>
    <row r="57" spans="1:6" ht="15" x14ac:dyDescent="0.2">
      <c r="A57" s="36" t="str">
        <f>VLOOKUP($C57,'Article Reference'!$A$3:$D$53,2,FALSE)</f>
        <v>Green Lawnger® Transition HC colorant</v>
      </c>
      <c r="B57" s="40" t="str">
        <f>VLOOKUP($C57,'Article Reference'!$A$3:$D$53,3,FALSE)</f>
        <v>1 x 30 gal</v>
      </c>
      <c r="C57" s="40">
        <v>4059023772</v>
      </c>
      <c r="D57" s="37">
        <f>VLOOKUP($C57,'Article Reference'!$A$3:$D$53,4,FALSE)</f>
        <v>2715.75</v>
      </c>
      <c r="E57" s="38">
        <f>VLOOKUP(C57,'Step 2 - Order Planner'!$C$26:$H$71,4,FALSE)+VLOOKUP(C57,'Step 2 - Order Planner'!$C$26:$H$71,6,FALSE)</f>
        <v>0</v>
      </c>
      <c r="F57" s="39">
        <f t="shared" si="3"/>
        <v>0</v>
      </c>
    </row>
    <row r="58" spans="1:6" ht="15" x14ac:dyDescent="0.2">
      <c r="A58" s="36" t="str">
        <f>VLOOKUP($C58,'Article Reference'!$A$3:$D$53,2,FALSE)</f>
        <v>Green Lawnger® Vision Pro colorant</v>
      </c>
      <c r="B58" s="40" t="str">
        <f>VLOOKUP($C58,'Article Reference'!$A$3:$D$53,3,FALSE)</f>
        <v>4 x 1 gal</v>
      </c>
      <c r="C58" s="40">
        <v>4059030457</v>
      </c>
      <c r="D58" s="37">
        <f>VLOOKUP($C58,'Article Reference'!$A$3:$D$53,4,FALSE)</f>
        <v>846.6</v>
      </c>
      <c r="E58" s="38">
        <f>VLOOKUP(C58,'Step 2 - Order Planner'!$C$26:$H$71,4,FALSE)+VLOOKUP(C58,'Step 2 - Order Planner'!$C$26:$H$71,6,FALSE)</f>
        <v>0</v>
      </c>
      <c r="F58" s="39">
        <f t="shared" si="3"/>
        <v>0</v>
      </c>
    </row>
    <row r="59" spans="1:6" ht="15" x14ac:dyDescent="0.2">
      <c r="A59" s="36" t="str">
        <f>VLOOKUP($C59,'Article Reference'!$A$3:$D$53,2,FALSE)</f>
        <v>Turf Mark spray indicator - blue</v>
      </c>
      <c r="B59" s="40" t="str">
        <f>VLOOKUP($C59,'Article Reference'!$A$3:$D$53,3,FALSE)</f>
        <v>12 x 0.25 gal</v>
      </c>
      <c r="C59" s="40">
        <v>4059013723</v>
      </c>
      <c r="D59" s="37">
        <f>VLOOKUP($C59,'Article Reference'!$A$3:$D$53,4,FALSE)</f>
        <v>292.56</v>
      </c>
      <c r="E59" s="38">
        <f>VLOOKUP(C59,'Step 2 - Order Planner'!$C$26:$H$71,4,FALSE)+VLOOKUP(C59,'Step 2 - Order Planner'!$C$26:$H$71,6,FALSE)</f>
        <v>0</v>
      </c>
      <c r="F59" s="39">
        <f t="shared" si="3"/>
        <v>0</v>
      </c>
    </row>
    <row r="60" spans="1:6" ht="15" x14ac:dyDescent="0.2">
      <c r="A60" s="36" t="str">
        <f>VLOOKUP($C60,'Article Reference'!$A$3:$D$53,2,FALSE)</f>
        <v>Turf Mark spray indicator - blue</v>
      </c>
      <c r="B60" s="40" t="str">
        <f>VLOOKUP($C60,'Article Reference'!$A$3:$D$53,3,FALSE)</f>
        <v>4 x 1 gal</v>
      </c>
      <c r="C60" s="40">
        <v>4059013420</v>
      </c>
      <c r="D60" s="37">
        <f>VLOOKUP($C60,'Article Reference'!$A$3:$D$53,4,FALSE)</f>
        <v>280.52</v>
      </c>
      <c r="E60" s="38">
        <f>VLOOKUP(C60,'Step 2 - Order Planner'!$C$26:$H$71,4,FALSE)+VLOOKUP(C60,'Step 2 - Order Planner'!$C$26:$H$71,6,FALSE)</f>
        <v>0</v>
      </c>
      <c r="F60" s="39">
        <f t="shared" si="0"/>
        <v>0</v>
      </c>
    </row>
    <row r="61" spans="1:6" ht="15" x14ac:dyDescent="0.2">
      <c r="A61" s="36" t="str">
        <f>VLOOKUP($C61,'Article Reference'!$A$3:$D$53,2,FALSE)</f>
        <v>Turf Mark spray indicator - blue</v>
      </c>
      <c r="B61" s="40" t="str">
        <f>VLOOKUP($C61,'Article Reference'!$A$3:$D$53,3,FALSE)</f>
        <v>2 x 2.5 gal</v>
      </c>
      <c r="C61" s="40">
        <v>4059030213</v>
      </c>
      <c r="D61" s="37">
        <f>VLOOKUP($C61,'Article Reference'!$A$3:$D$53,4,FALSE)</f>
        <v>328.32</v>
      </c>
      <c r="E61" s="38">
        <f>VLOOKUP(C61,'Step 2 - Order Planner'!$C$26:$H$71,4,FALSE)+VLOOKUP(C61,'Step 2 - Order Planner'!$C$26:$H$71,6,FALSE)</f>
        <v>0</v>
      </c>
      <c r="F61" s="39">
        <f t="shared" ref="F61" si="5">E61*D61</f>
        <v>0</v>
      </c>
    </row>
    <row r="62" spans="1:6" ht="15" x14ac:dyDescent="0.2">
      <c r="A62" s="36" t="str">
        <f>VLOOKUP($C62,'Article Reference'!$A$3:$D$53,2,FALSE)</f>
        <v>Turf Mark spray indicator - blue</v>
      </c>
      <c r="B62" s="40" t="str">
        <f>VLOOKUP($C62,'Article Reference'!$A$3:$D$53,3,FALSE)</f>
        <v>1 x 30 gal</v>
      </c>
      <c r="C62" s="40">
        <v>4059013314</v>
      </c>
      <c r="D62" s="37">
        <f>VLOOKUP($C62,'Article Reference'!$A$3:$D$53,4,FALSE)</f>
        <v>1836</v>
      </c>
      <c r="E62" s="38">
        <f>VLOOKUP(C62,'Step 2 - Order Planner'!$C$26:$H$71,4,FALSE)+VLOOKUP(C62,'Step 2 - Order Planner'!$C$26:$H$71,6,FALSE)</f>
        <v>0</v>
      </c>
      <c r="F62" s="39">
        <f t="shared" ref="F62" si="6">E62*D62</f>
        <v>0</v>
      </c>
    </row>
    <row r="63" spans="1:6" ht="15.75" customHeight="1" x14ac:dyDescent="0.2">
      <c r="A63" s="311" t="s">
        <v>250</v>
      </c>
      <c r="B63" s="312"/>
      <c r="C63" s="312"/>
      <c r="D63" s="312"/>
      <c r="E63" s="313"/>
      <c r="F63" s="149">
        <f>'Step 2 - Order Planner'!H19</f>
        <v>0</v>
      </c>
    </row>
    <row r="65" spans="1:6" x14ac:dyDescent="0.2">
      <c r="A65" s="262" t="s">
        <v>275</v>
      </c>
      <c r="B65" s="262"/>
      <c r="C65" s="262"/>
      <c r="D65" s="262"/>
      <c r="E65" s="262"/>
      <c r="F65" s="262"/>
    </row>
    <row r="66" spans="1:6" x14ac:dyDescent="0.2">
      <c r="A66" s="262"/>
      <c r="B66" s="262"/>
      <c r="C66" s="262"/>
      <c r="D66" s="262"/>
      <c r="E66" s="262"/>
      <c r="F66" s="262"/>
    </row>
    <row r="67" spans="1:6" x14ac:dyDescent="0.2">
      <c r="A67" s="262"/>
      <c r="B67" s="262"/>
      <c r="C67" s="262"/>
      <c r="D67" s="262"/>
      <c r="E67" s="262"/>
      <c r="F67" s="262"/>
    </row>
    <row r="68" spans="1:6" x14ac:dyDescent="0.2">
      <c r="A68" s="262"/>
      <c r="B68" s="262"/>
      <c r="C68" s="262"/>
      <c r="D68" s="262"/>
      <c r="E68" s="262"/>
      <c r="F68" s="262"/>
    </row>
    <row r="69" spans="1:6" x14ac:dyDescent="0.2">
      <c r="A69" s="262"/>
      <c r="B69" s="262"/>
      <c r="C69" s="262"/>
      <c r="D69" s="262"/>
      <c r="E69" s="262"/>
      <c r="F69" s="262"/>
    </row>
    <row r="70" spans="1:6" x14ac:dyDescent="0.2">
      <c r="A70" s="262"/>
      <c r="B70" s="262"/>
      <c r="C70" s="262"/>
      <c r="D70" s="262"/>
      <c r="E70" s="262"/>
      <c r="F70" s="262"/>
    </row>
    <row r="71" spans="1:6" x14ac:dyDescent="0.2">
      <c r="A71" s="262"/>
      <c r="B71" s="262"/>
      <c r="C71" s="262"/>
      <c r="D71" s="262"/>
      <c r="E71" s="262"/>
      <c r="F71" s="262"/>
    </row>
    <row r="72" spans="1:6" x14ac:dyDescent="0.2">
      <c r="A72" s="262"/>
      <c r="B72" s="262"/>
      <c r="C72" s="262"/>
      <c r="D72" s="262"/>
      <c r="E72" s="262"/>
      <c r="F72" s="262"/>
    </row>
    <row r="73" spans="1:6" x14ac:dyDescent="0.2">
      <c r="A73" s="262"/>
      <c r="B73" s="262"/>
      <c r="C73" s="262"/>
      <c r="D73" s="262"/>
      <c r="E73" s="262"/>
      <c r="F73" s="262"/>
    </row>
    <row r="74" spans="1:6" x14ac:dyDescent="0.2">
      <c r="A74" s="262"/>
      <c r="B74" s="262"/>
      <c r="C74" s="262"/>
      <c r="D74" s="262"/>
      <c r="E74" s="262"/>
      <c r="F74" s="262"/>
    </row>
  </sheetData>
  <sheetProtection algorithmName="SHA-512" hashValue="abO+ej16INVLac/bCaaqtAieVPQFs5ZWq5k3UXB+9/wuMIDPOJTkmbyLAUTv+3S32XFYXf+O6JV8bQZxdkBjoQ==" saltValue="xCjWr5kFnYokGBRAHCSY0Q==" spinCount="100000" sheet="1" objects="1" scenarios="1"/>
  <protectedRanges>
    <protectedRange sqref="A15:C19" name="Range1"/>
  </protectedRanges>
  <autoFilter ref="A24:F63" xr:uid="{00000000-0009-0000-0000-000002000000}"/>
  <mergeCells count="12">
    <mergeCell ref="A11:F12"/>
    <mergeCell ref="A65:F74"/>
    <mergeCell ref="A38:E38"/>
    <mergeCell ref="A63:E63"/>
    <mergeCell ref="D14:E14"/>
    <mergeCell ref="D15:E15"/>
    <mergeCell ref="D16:E16"/>
    <mergeCell ref="D17:E17"/>
    <mergeCell ref="D20:E21"/>
    <mergeCell ref="F20:F21"/>
    <mergeCell ref="D18:E19"/>
    <mergeCell ref="F18:F19"/>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topLeftCell="C1" workbookViewId="0">
      <selection activeCell="S28" sqref="S28"/>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124</v>
      </c>
      <c r="P1" s="16" t="s">
        <v>125</v>
      </c>
      <c r="Q1" s="16" t="s">
        <v>122</v>
      </c>
      <c r="R1" s="16" t="s">
        <v>123</v>
      </c>
      <c r="S1" s="16" t="s">
        <v>58</v>
      </c>
    </row>
    <row r="2" spans="1:19" x14ac:dyDescent="0.25">
      <c r="A2" s="16" t="s">
        <v>35</v>
      </c>
      <c r="B2" s="16" t="s">
        <v>36</v>
      </c>
      <c r="C2" s="16" t="s">
        <v>37</v>
      </c>
      <c r="D2" s="16" t="s">
        <v>37</v>
      </c>
      <c r="E2" s="16" t="s">
        <v>38</v>
      </c>
      <c r="F2" s="16"/>
      <c r="G2" s="16" t="s">
        <v>51</v>
      </c>
      <c r="L2" s="158">
        <v>4059032979</v>
      </c>
      <c r="M2" s="159" t="str">
        <f>VLOOKUP($L2,'Article Reference'!$A$3:$C$17,2,FALSE)</f>
        <v>Aramax™ Intrinsic brand fungicide</v>
      </c>
      <c r="N2" s="158" t="str">
        <f>VLOOKUP($L2,'Article Reference'!$A$3:$C$17,3,FALSE)</f>
        <v>4 x 43.5 fl oz</v>
      </c>
      <c r="O2" s="160" t="e">
        <f>VLOOKUP(L2,'Step 2 - Order Planner'!$C$26:$F$38,4,FALSE)</f>
        <v>#N/A</v>
      </c>
      <c r="P2" s="160" t="e">
        <f>VLOOKUP(L2,'Step 2 - Order Planner'!$C$26:$H$38,6,FALSE)</f>
        <v>#N/A</v>
      </c>
      <c r="Q2" s="320"/>
      <c r="R2" s="320"/>
      <c r="S2" s="320"/>
    </row>
    <row r="3" spans="1:19" x14ac:dyDescent="0.25">
      <c r="A3" s="13">
        <v>3000</v>
      </c>
      <c r="B3" s="13">
        <f>A4-1</f>
        <v>7999</v>
      </c>
      <c r="C3" s="14">
        <v>0.04</v>
      </c>
      <c r="D3" s="14">
        <v>0.04</v>
      </c>
      <c r="E3" s="14" t="b">
        <f>IF(AND(('Step 2 - Order Planner'!$H$19+$E$7)&gt;=3000,'Step 2 - Order Planner'!$H$19+$E$7&gt;=$A3,'Step 2 - Order Planner'!$H$19+$E$7&lt;=$B3),C3)</f>
        <v>0</v>
      </c>
      <c r="F3" s="14"/>
      <c r="G3" s="14">
        <f>SUM(E3:F3)</f>
        <v>0</v>
      </c>
      <c r="L3" s="158">
        <v>4059026671</v>
      </c>
      <c r="M3" s="159" t="str">
        <f>VLOOKUP($L3,'Article Reference'!$A$3:$C$17,2,FALSE)</f>
        <v>Aramax™ Intrinsic® brand Fungicide</v>
      </c>
      <c r="N3" s="158" t="str">
        <f>VLOOKUP($L3,'Article Reference'!$A$3:$C$17,3,FALSE)</f>
        <v>2 x 2.5 gal</v>
      </c>
      <c r="O3" s="160" t="e">
        <f>VLOOKUP(L3,'Step 2 - Order Planner'!$C$26:$F$38,4,FALSE)</f>
        <v>#N/A</v>
      </c>
      <c r="P3" s="160" t="e">
        <f>VLOOKUP(L3,'Step 2 - Order Planner'!$C$26:$H$38,6,FALSE)</f>
        <v>#N/A</v>
      </c>
      <c r="Q3" s="321"/>
      <c r="R3" s="321"/>
      <c r="S3" s="321"/>
    </row>
    <row r="4" spans="1:19" x14ac:dyDescent="0.25">
      <c r="A4" s="13">
        <v>8000</v>
      </c>
      <c r="B4" s="13">
        <f>A5-1</f>
        <v>19999</v>
      </c>
      <c r="C4" s="14">
        <v>0.06</v>
      </c>
      <c r="D4" s="14">
        <v>0.06</v>
      </c>
      <c r="E4" s="14" t="b">
        <f>IF(AND(('Step 2 - Order Planner'!$H$19+$E$7)&gt;=3000,'Step 2 - Order Planner'!$H$19+$E$7&gt;=$A4,'Step 2 - Order Planner'!$H$19+$E$7&lt;=$B4),C4)</f>
        <v>0</v>
      </c>
      <c r="F4" s="14"/>
      <c r="G4" s="14">
        <f>SUM(E4:F4)</f>
        <v>0</v>
      </c>
      <c r="L4" s="62">
        <v>4059021463</v>
      </c>
      <c r="M4" s="63" t="str">
        <f>VLOOKUP($L4,'Article Reference'!$A$5:$C$17,2,FALSE)</f>
        <v>Emerald® fungicide</v>
      </c>
      <c r="N4" s="62" t="str">
        <f>VLOOKUP($L4,'Article Reference'!$A$5:$C$17,3,FALSE)</f>
        <v>10 x 0.49 lb</v>
      </c>
      <c r="O4" s="161">
        <f>VLOOKUP(L4,'Step 2 - Order Planner'!$C$26:$F$38,4,FALSE)</f>
        <v>0</v>
      </c>
      <c r="P4" s="161">
        <f>VLOOKUP(L4,'Step 2 - Order Planner'!$C$26:$H$38,6,FALSE)</f>
        <v>0</v>
      </c>
      <c r="Q4" s="162">
        <f t="shared" ref="Q4:R5" si="0">IF(O4&gt;0,1,0)</f>
        <v>0</v>
      </c>
      <c r="R4" s="162">
        <f t="shared" si="0"/>
        <v>0</v>
      </c>
      <c r="S4" s="162">
        <f>IF(OR(Q4=1,R4=1),1,0)</f>
        <v>0</v>
      </c>
    </row>
    <row r="5" spans="1:19" x14ac:dyDescent="0.25">
      <c r="A5" s="13">
        <v>20000</v>
      </c>
      <c r="B5" s="13">
        <v>1000000</v>
      </c>
      <c r="C5" s="14">
        <v>0.12</v>
      </c>
      <c r="D5" s="14">
        <v>0.12</v>
      </c>
      <c r="E5" s="14" t="b">
        <f>IF(AND(('Step 2 - Order Planner'!$H$19+$E$7)&gt;=3000,'Step 2 - Order Planner'!$H$19+$E$7&gt;=$A5,'Step 2 - Order Planner'!$H$19+$E$7&lt;=$B5),C5)</f>
        <v>0</v>
      </c>
      <c r="F5" s="14"/>
      <c r="G5" s="14">
        <f>SUM(E5:F5)</f>
        <v>0</v>
      </c>
      <c r="L5" s="120">
        <v>4059014003</v>
      </c>
      <c r="M5" s="121" t="str">
        <f>VLOOKUP($L5,'Article Reference'!$A$5:$C$17,2,FALSE)</f>
        <v>Encartis® fungicide</v>
      </c>
      <c r="N5" s="120" t="str">
        <f>VLOOKUP($L5,'Article Reference'!$A$5:$C$17,3,FALSE)</f>
        <v>2 x 2.5 gal</v>
      </c>
      <c r="O5" s="122">
        <f>VLOOKUP(L5,'Step 2 - Order Planner'!$C$26:$F$38,4,FALSE)</f>
        <v>0</v>
      </c>
      <c r="P5" s="122">
        <f>VLOOKUP(L5,'Step 2 - Order Planner'!$C$26:$H$38,6,FALSE)</f>
        <v>0</v>
      </c>
      <c r="Q5" s="123">
        <f t="shared" si="0"/>
        <v>0</v>
      </c>
      <c r="R5" s="123">
        <f t="shared" si="0"/>
        <v>0</v>
      </c>
      <c r="S5" s="123">
        <f>IF(OR(Q5=1,R5=1),1,0)</f>
        <v>0</v>
      </c>
    </row>
    <row r="6" spans="1:19" x14ac:dyDescent="0.25">
      <c r="C6" s="169" t="s">
        <v>40</v>
      </c>
      <c r="D6" s="170"/>
      <c r="E6" s="17">
        <f>SUM(E3:E5)</f>
        <v>0</v>
      </c>
      <c r="F6" s="17"/>
      <c r="G6" s="17">
        <f>SUM(E6:F6)</f>
        <v>0</v>
      </c>
      <c r="L6" s="64">
        <v>4059012350</v>
      </c>
      <c r="M6" s="65" t="str">
        <f>VLOOKUP($L6,'Article Reference'!$A$5:$C$17,2,FALSE)</f>
        <v>Honor® Intrinsic® brand fungicide</v>
      </c>
      <c r="N6" s="64" t="str">
        <f>VLOOKUP($L6,'Article Reference'!$A$5:$C$17,3,FALSE)</f>
        <v>6 x 3 lb</v>
      </c>
      <c r="O6" s="66">
        <f>VLOOKUP(L6,'Step 2 - Order Planner'!$C$26:$F$38,4,FALSE)</f>
        <v>0</v>
      </c>
      <c r="P6" s="66">
        <f>VLOOKUP(L6,'Step 2 - Order Planner'!$C$26:$H$38,6,FALSE)</f>
        <v>0</v>
      </c>
      <c r="Q6" s="324">
        <f>IF(O6+O7&gt;0,1,0)</f>
        <v>0</v>
      </c>
      <c r="R6" s="324">
        <f>IF(P6+P7&gt;0,1,0)</f>
        <v>0</v>
      </c>
      <c r="S6" s="324">
        <f>IF(OR(Q6=1,R6=1),1,0)</f>
        <v>0</v>
      </c>
    </row>
    <row r="7" spans="1:19" x14ac:dyDescent="0.25">
      <c r="E7" s="102">
        <v>0</v>
      </c>
      <c r="L7" s="64">
        <v>4059012885</v>
      </c>
      <c r="M7" s="65" t="str">
        <f>VLOOKUP($L7,'Article Reference'!$A$5:$C$17,2,FALSE)</f>
        <v>Honor® Intrinsic® brand fungicide</v>
      </c>
      <c r="N7" s="64" t="str">
        <f>VLOOKUP($L7,'Article Reference'!$A$5:$C$17,3,FALSE)</f>
        <v>1 x 36 lb</v>
      </c>
      <c r="O7" s="66">
        <f>VLOOKUP(L7,'Step 2 - Order Planner'!$C$26:$F$38,4,FALSE)</f>
        <v>0</v>
      </c>
      <c r="P7" s="66">
        <f>VLOOKUP(L7,'Step 2 - Order Planner'!$C$26:$H$38,6,FALSE)</f>
        <v>0</v>
      </c>
      <c r="Q7" s="325"/>
      <c r="R7" s="325"/>
      <c r="S7" s="325"/>
    </row>
    <row r="8" spans="1:19" x14ac:dyDescent="0.25">
      <c r="L8" s="67">
        <v>4059028038</v>
      </c>
      <c r="M8" s="68" t="str">
        <f>VLOOKUP($L8,'Article Reference'!$A$5:$C$17,2,FALSE)</f>
        <v>Insignia® SC Intrinsic® brand fungicide</v>
      </c>
      <c r="N8" s="67" t="str">
        <f>VLOOKUP($L8,'Article Reference'!$A$5:$C$17,3,FALSE)</f>
        <v>4 x 30.5 fl oz</v>
      </c>
      <c r="O8" s="69">
        <f>VLOOKUP(L8,'Step 2 - Order Planner'!$C$26:$F$38,4,FALSE)</f>
        <v>0</v>
      </c>
      <c r="P8" s="69">
        <f>VLOOKUP(L8,'Step 2 - Order Planner'!$C$26:$H$38,6,FALSE)</f>
        <v>0</v>
      </c>
      <c r="Q8" s="326">
        <f>IF(O8+O9&gt;0,1,0)</f>
        <v>0</v>
      </c>
      <c r="R8" s="326">
        <f>IF(P8+P9&gt;0,1,0)</f>
        <v>0</v>
      </c>
      <c r="S8" s="326">
        <f>IF(OR(Q8=1,R8=1),1,0)</f>
        <v>0</v>
      </c>
    </row>
    <row r="9" spans="1:19" x14ac:dyDescent="0.25">
      <c r="A9" s="12" t="s">
        <v>227</v>
      </c>
      <c r="C9" s="12" t="s">
        <v>33</v>
      </c>
      <c r="D9" s="12" t="s">
        <v>34</v>
      </c>
      <c r="L9" s="67">
        <v>4059028040</v>
      </c>
      <c r="M9" s="68" t="str">
        <f>VLOOKUP($L9,'Article Reference'!$A$5:$C$17,2,FALSE)</f>
        <v>Insignia® SC Intrinsic® brand fungicide</v>
      </c>
      <c r="N9" s="67" t="str">
        <f>VLOOKUP($L9,'Article Reference'!$A$5:$C$17,3,FALSE)</f>
        <v>2 x 2.5 gal</v>
      </c>
      <c r="O9" s="69">
        <f>VLOOKUP(L9,'Step 2 - Order Planner'!$C$26:$F$38,4,FALSE)</f>
        <v>0</v>
      </c>
      <c r="P9" s="69">
        <f>VLOOKUP(L9,'Step 2 - Order Planner'!$C$26:$H$38,6,FALSE)</f>
        <v>0</v>
      </c>
      <c r="Q9" s="327"/>
      <c r="R9" s="327"/>
      <c r="S9" s="327"/>
    </row>
    <row r="10" spans="1:19" x14ac:dyDescent="0.25">
      <c r="A10" s="16" t="s">
        <v>35</v>
      </c>
      <c r="B10" s="16" t="s">
        <v>36</v>
      </c>
      <c r="C10" s="16" t="s">
        <v>37</v>
      </c>
      <c r="D10" s="16" t="s">
        <v>37</v>
      </c>
      <c r="E10" s="16" t="s">
        <v>38</v>
      </c>
      <c r="F10" s="16" t="s">
        <v>39</v>
      </c>
      <c r="G10" s="16" t="s">
        <v>51</v>
      </c>
      <c r="H10" s="117">
        <f>'Step 2 - Order Planner'!H17:I17</f>
        <v>0</v>
      </c>
      <c r="L10" s="79">
        <v>4059027998</v>
      </c>
      <c r="M10" s="80" t="str">
        <f>VLOOKUP($L10,'Article Reference'!$A$5:$C$17,2,FALSE)</f>
        <v>Lexicon® Intrinsic® brand fungicide</v>
      </c>
      <c r="N10" s="79" t="str">
        <f>VLOOKUP($L10,'Article Reference'!$A$5:$C$17,3,FALSE)</f>
        <v>4 x 21 oz</v>
      </c>
      <c r="O10" s="81">
        <f>VLOOKUP(L10,'Step 2 - Order Planner'!$C$26:$F$38,4,FALSE)</f>
        <v>0</v>
      </c>
      <c r="P10" s="81">
        <f>VLOOKUP(L10,'Step 2 - Order Planner'!$C$26:$H$38,6,FALSE)</f>
        <v>0</v>
      </c>
      <c r="Q10" s="82">
        <f>IF(O10&gt;0,1,0)</f>
        <v>0</v>
      </c>
      <c r="R10" s="82">
        <f>IF(P10&gt;0,1,0)</f>
        <v>0</v>
      </c>
      <c r="S10" s="82">
        <f>IF(OR(Q10=1,R10=1),1,0)</f>
        <v>0</v>
      </c>
    </row>
    <row r="11" spans="1:19" x14ac:dyDescent="0.25">
      <c r="A11" s="13">
        <v>3000</v>
      </c>
      <c r="B11" s="13">
        <f>A12-1</f>
        <v>7999</v>
      </c>
      <c r="C11" s="14">
        <v>0.08</v>
      </c>
      <c r="D11" s="14">
        <v>0.03</v>
      </c>
      <c r="E11" s="14" t="b">
        <f>IF(AND(('Step 2 - Order Planner'!$G$41)&gt;=3000,Q18&gt;=1),C11)</f>
        <v>0</v>
      </c>
      <c r="F11" s="14" t="b">
        <f>IF(AND(('Step 2 - Order Planner'!$J$41)&gt;=3000,S18&gt;=1),D11)</f>
        <v>0</v>
      </c>
      <c r="G11" s="14" t="b">
        <f>IF(E11&lt;&gt;FALSE,E11,F11)</f>
        <v>0</v>
      </c>
      <c r="H11" s="117">
        <f>A11-H10</f>
        <v>3000</v>
      </c>
      <c r="I11" s="118">
        <v>0.08</v>
      </c>
      <c r="L11" s="70">
        <v>4059018087</v>
      </c>
      <c r="M11" s="71" t="str">
        <f>VLOOKUP($L11,'Article Reference'!$A$5:$C$17,2,FALSE)</f>
        <v>Maxtima® fungicide</v>
      </c>
      <c r="N11" s="70" t="str">
        <f>VLOOKUP($L11,'Article Reference'!$A$5:$C$17,3,FALSE)</f>
        <v>4 x 26 oz</v>
      </c>
      <c r="O11" s="72">
        <f>VLOOKUP(L11,'Step 2 - Order Planner'!$C$26:$F$38,4,FALSE)</f>
        <v>0</v>
      </c>
      <c r="P11" s="72">
        <f>VLOOKUP(L11,'Step 2 - Order Planner'!$C$26:$H$38,6,FALSE)</f>
        <v>0</v>
      </c>
      <c r="Q11" s="331">
        <f>IF(O11+O12&gt;0,1,0)</f>
        <v>0</v>
      </c>
      <c r="R11" s="331">
        <f>IF(P11+P12&gt;0,1,0)</f>
        <v>0</v>
      </c>
      <c r="S11" s="331">
        <f>IF(OR(Q11=1,R11=1),1,0)</f>
        <v>0</v>
      </c>
    </row>
    <row r="12" spans="1:19" x14ac:dyDescent="0.25">
      <c r="A12" s="13">
        <v>8000</v>
      </c>
      <c r="B12" s="13">
        <f>A13-1</f>
        <v>19999</v>
      </c>
      <c r="C12" s="14">
        <v>0.14000000000000001</v>
      </c>
      <c r="D12" s="14">
        <v>0.06</v>
      </c>
      <c r="E12" s="14" t="b">
        <f>IF(AND(('Step 2 - Order Planner'!$G$41)&gt;=3000,$Q$18&gt;=1,'Step 2 - Order Planner'!J41&gt;=$A12,'Step 2 - Order Planner'!J41&lt;=$B12),C12)</f>
        <v>0</v>
      </c>
      <c r="F12" s="14" t="b">
        <f>IF(AND(('Step 2 - Order Planner'!$J$41)&gt;=3000,$S$18&gt;=1,'Step 2 - Order Planner'!J41&gt;=$A12,'Step 2 - Order Planner'!J41&lt;=$B12),D12)</f>
        <v>0</v>
      </c>
      <c r="G12" s="14" t="b">
        <f>IF(E12&lt;&gt;FALSE,E12,F12)</f>
        <v>0</v>
      </c>
      <c r="H12" s="117">
        <f>A12-H10</f>
        <v>8000</v>
      </c>
      <c r="I12" s="118">
        <v>0.14000000000000001</v>
      </c>
      <c r="L12" s="70">
        <v>4059018071</v>
      </c>
      <c r="M12" s="71" t="str">
        <f>VLOOKUP($L12,'Article Reference'!$A$5:$C$17,2,FALSE)</f>
        <v>Maxtima® fungicide</v>
      </c>
      <c r="N12" s="70" t="str">
        <f>VLOOKUP($L12,'Article Reference'!$A$5:$C$17,3,FALSE)</f>
        <v>2 x 2.5 gal</v>
      </c>
      <c r="O12" s="72">
        <f>VLOOKUP(L12,'Step 2 - Order Planner'!$C$26:$F$38,4,FALSE)</f>
        <v>0</v>
      </c>
      <c r="P12" s="72">
        <f>VLOOKUP(L12,'Step 2 - Order Planner'!$C$26:$H$38,6,FALSE)</f>
        <v>0</v>
      </c>
      <c r="Q12" s="332"/>
      <c r="R12" s="332"/>
      <c r="S12" s="332"/>
    </row>
    <row r="13" spans="1:19" x14ac:dyDescent="0.25">
      <c r="A13" s="13">
        <v>20000</v>
      </c>
      <c r="B13" s="13">
        <f>A14-1</f>
        <v>29999</v>
      </c>
      <c r="C13" s="14">
        <v>0.17</v>
      </c>
      <c r="D13" s="14">
        <v>0.09</v>
      </c>
      <c r="E13" s="14" t="b">
        <f>IF(AND(('Step 2 - Order Planner'!$G$41)&gt;=3000,Q18&gt;=1,'Step 2 - Order Planner'!J41&gt;=$A13,'Step 2 - Order Planner'!J41&lt;=$B13),C13)</f>
        <v>0</v>
      </c>
      <c r="F13" s="14" t="b">
        <f>IF(AND(('Step 2 - Order Planner'!$J$41)&gt;=3000,$S$18&gt;=1,'Step 2 - Order Planner'!J41&gt;=$A13,'Step 2 - Order Planner'!J41&lt;=$B13),D13)</f>
        <v>0</v>
      </c>
      <c r="G13" s="14" t="b">
        <f>IF(E13&lt;&gt;FALSE,E13,F13)</f>
        <v>0</v>
      </c>
      <c r="H13" s="117">
        <f>A13-H10</f>
        <v>20000</v>
      </c>
      <c r="I13" s="118">
        <v>0.17</v>
      </c>
      <c r="L13" s="73">
        <v>4059018094</v>
      </c>
      <c r="M13" s="74" t="str">
        <f>VLOOKUP($L13,'Article Reference'!$A$5:$C$17,2,FALSE)</f>
        <v>Navicon® Intrinsic® brand fungicide</v>
      </c>
      <c r="N13" s="73" t="str">
        <f>VLOOKUP($L13,'Article Reference'!$A$5:$C$17,3,FALSE)</f>
        <v>4 x 37 fl oz</v>
      </c>
      <c r="O13" s="75">
        <f>VLOOKUP(L13,'Step 2 - Order Planner'!$C$26:$F$38,4,FALSE)</f>
        <v>0</v>
      </c>
      <c r="P13" s="75">
        <f>VLOOKUP(L13,'Step 2 - Order Planner'!$C$26:$H$38,6,FALSE)</f>
        <v>0</v>
      </c>
      <c r="Q13" s="333">
        <f>IF(O13+O14&gt;0,1,0)</f>
        <v>0</v>
      </c>
      <c r="R13" s="333">
        <f>IF(P13+P14&gt;0,1,0)</f>
        <v>0</v>
      </c>
      <c r="S13" s="333">
        <f>IF(OR(Q13=1,R13=1),1,0)</f>
        <v>0</v>
      </c>
    </row>
    <row r="14" spans="1:19" x14ac:dyDescent="0.25">
      <c r="A14" s="13">
        <v>30000</v>
      </c>
      <c r="B14" s="13">
        <f>A15-1</f>
        <v>39999</v>
      </c>
      <c r="C14" s="14">
        <v>0.2</v>
      </c>
      <c r="D14" s="14">
        <v>0.1</v>
      </c>
      <c r="E14" s="14" t="b">
        <f>IF(AND(('Step 2 - Order Planner'!$G$41)&gt;=3000,Q18&gt;=1,'Step 2 - Order Planner'!J41&gt;=$A14,'Step 2 - Order Planner'!J41&lt;=$B14),C14)</f>
        <v>0</v>
      </c>
      <c r="F14" s="14" t="b">
        <f>IF(AND(('Step 2 - Order Planner'!$J$41)&gt;=3000,$S$18&gt;=1,'Step 2 - Order Planner'!J41&gt;=$A14,'Step 2 - Order Planner'!J41&lt;=$B14),D14)</f>
        <v>0</v>
      </c>
      <c r="G14" s="14" t="b">
        <f>IF(E14&lt;&gt;FALSE,E14,F14)</f>
        <v>0</v>
      </c>
      <c r="H14" s="117">
        <f>A14-H10</f>
        <v>30000</v>
      </c>
      <c r="I14" s="118">
        <v>0.2</v>
      </c>
      <c r="L14" s="73">
        <v>4059018095</v>
      </c>
      <c r="M14" s="74" t="str">
        <f>VLOOKUP($L14,'Article Reference'!$A$5:$C$17,2,FALSE)</f>
        <v>Navicon® Intrinsic® brand fungicide</v>
      </c>
      <c r="N14" s="73" t="str">
        <f>VLOOKUP($L14,'Article Reference'!$A$5:$C$17,3,FALSE)</f>
        <v>2 x 2.5 gal</v>
      </c>
      <c r="O14" s="75">
        <f>VLOOKUP(L14,'Step 2 - Order Planner'!$C$26:$F$38,4,FALSE)</f>
        <v>0</v>
      </c>
      <c r="P14" s="75">
        <f>VLOOKUP(L14,'Step 2 - Order Planner'!$C$26:$H$38,6,FALSE)</f>
        <v>0</v>
      </c>
      <c r="Q14" s="334"/>
      <c r="R14" s="334"/>
      <c r="S14" s="334"/>
    </row>
    <row r="15" spans="1:19" x14ac:dyDescent="0.25">
      <c r="A15" s="13">
        <v>40000</v>
      </c>
      <c r="B15" s="13">
        <v>10000000</v>
      </c>
      <c r="C15" s="14">
        <v>0.24</v>
      </c>
      <c r="D15" s="14">
        <v>0.12</v>
      </c>
      <c r="E15" s="14" t="b">
        <f>IF(AND(('Step 2 - Order Planner'!$G$41)&gt;=3000,Q18&gt;=1,'Step 2 - Order Planner'!J41&gt;=$A15,'Step 2 - Order Planner'!J41&lt;=$B15),C15)</f>
        <v>0</v>
      </c>
      <c r="F15" s="14" t="b">
        <f>IF(AND(('Step 2 - Order Planner'!$J$41)&gt;=3000,$S$18&gt;=1,'Step 2 - Order Planner'!J41&gt;=$A15,'Step 2 - Order Planner'!J41&lt;=$B15),D15)</f>
        <v>0</v>
      </c>
      <c r="G15" s="14" t="b">
        <f>IF(E15&lt;&gt;FALSE,E15,F15)</f>
        <v>0</v>
      </c>
      <c r="H15" s="117">
        <f>A15-H10</f>
        <v>40000</v>
      </c>
      <c r="I15" s="118">
        <v>0.24</v>
      </c>
      <c r="L15" s="76">
        <v>4059014120</v>
      </c>
      <c r="M15" s="77" t="str">
        <f>VLOOKUP($L15,'Article Reference'!$A$5:$C$17,2,FALSE)</f>
        <v>Xzemplar® fungicide</v>
      </c>
      <c r="N15" s="76" t="str">
        <f>VLOOKUP($L15,'Article Reference'!$A$5:$C$17,3,FALSE)</f>
        <v>4 x 11.4 oz</v>
      </c>
      <c r="O15" s="78">
        <f>VLOOKUP(L15,'Step 2 - Order Planner'!$C$26:$F$38,4,FALSE)</f>
        <v>0</v>
      </c>
      <c r="P15" s="78">
        <f>VLOOKUP(L15,'Step 2 - Order Planner'!$C$26:$H$38,6,FALSE)</f>
        <v>0</v>
      </c>
      <c r="Q15" s="328">
        <f>IF(O15+O17&gt;0,1,0)</f>
        <v>0</v>
      </c>
      <c r="R15" s="328">
        <f>IF(P15+P17&gt;0,1,0)</f>
        <v>0</v>
      </c>
      <c r="S15" s="328">
        <f>IF(OR(Q15=1,R15=1),1,0)</f>
        <v>0</v>
      </c>
    </row>
    <row r="16" spans="1:19" x14ac:dyDescent="0.25">
      <c r="C16" s="171" t="s">
        <v>40</v>
      </c>
      <c r="D16" s="172"/>
      <c r="E16" s="151"/>
      <c r="F16" s="151"/>
      <c r="G16" s="151">
        <f>MAX(G11:G15)</f>
        <v>0</v>
      </c>
      <c r="H16" s="117" cm="1">
        <f t="array" ref="H16">MIN(IF(H11:H15&gt;0,H11:H15))</f>
        <v>3000</v>
      </c>
      <c r="L16" s="76"/>
      <c r="M16" s="77"/>
      <c r="N16" s="76"/>
      <c r="O16" s="78"/>
      <c r="P16" s="78"/>
      <c r="Q16" s="329"/>
      <c r="R16" s="329"/>
      <c r="S16" s="329"/>
    </row>
    <row r="17" spans="1:21" x14ac:dyDescent="0.25">
      <c r="L17" s="76">
        <v>4059013833</v>
      </c>
      <c r="M17" s="77" t="str">
        <f>VLOOKUP($L17,'Article Reference'!$A$5:$C$17,2,FALSE)</f>
        <v>Xzemplar® fungicide</v>
      </c>
      <c r="N17" s="76" t="str">
        <f>VLOOKUP($L17,'Article Reference'!$A$5:$C$17,3,FALSE)</f>
        <v>2 x 114 oz</v>
      </c>
      <c r="O17" s="78">
        <f>VLOOKUP(L17,'Step 2 - Order Planner'!$C$26:$F$38,4,FALSE)</f>
        <v>0</v>
      </c>
      <c r="P17" s="78">
        <f>VLOOKUP(L17,'Step 2 - Order Planner'!$C$26:$H$38,6,FALSE)</f>
        <v>0</v>
      </c>
      <c r="Q17" s="330"/>
      <c r="R17" s="330"/>
      <c r="S17" s="330"/>
    </row>
    <row r="18" spans="1:21" x14ac:dyDescent="0.25">
      <c r="A18" s="12" t="s">
        <v>141</v>
      </c>
      <c r="Q18" s="90">
        <f>SUM(Q2:Q17)</f>
        <v>0</v>
      </c>
      <c r="R18" s="90">
        <f>SUM(R2:R17)</f>
        <v>0</v>
      </c>
      <c r="S18" s="90">
        <f>SUM(S2:S17)</f>
        <v>0</v>
      </c>
    </row>
    <row r="19" spans="1:21" x14ac:dyDescent="0.25">
      <c r="A19" s="16" t="s">
        <v>35</v>
      </c>
      <c r="B19" s="16" t="s">
        <v>36</v>
      </c>
      <c r="C19" s="16" t="s">
        <v>37</v>
      </c>
      <c r="D19" s="16" t="s">
        <v>37</v>
      </c>
      <c r="E19" s="16"/>
      <c r="F19" s="16"/>
      <c r="G19" s="16" t="s">
        <v>51</v>
      </c>
      <c r="H19" s="117">
        <f>'Step 2 - Order Planner'!H19:I19</f>
        <v>0</v>
      </c>
    </row>
    <row r="20" spans="1:21" x14ac:dyDescent="0.25">
      <c r="A20" s="13">
        <v>3000</v>
      </c>
      <c r="B20" s="13">
        <f>A21-1</f>
        <v>7999</v>
      </c>
      <c r="C20" s="14">
        <v>0.04</v>
      </c>
      <c r="D20" s="14">
        <v>0.04</v>
      </c>
      <c r="E20" s="14" t="b">
        <f>IF(AND(('Step 2 - Order Planner'!$G$41+'Step 2 - Order Planner'!$I$41+'Step 2 - Order Planner'!$G$72)&gt;=3000,'Step 2 - Order Planner'!$G$41+'Step 2 - Order Planner'!$I$41+'Step 2 - Order Planner'!$G$72&gt;=$A20,'Step 2 - Order Planner'!$G$41+'Step 2 - Order Planner'!$I$41+'Step 2 - Order Planner'!$G$72&lt;=$B20,S18&lt;=3),C20)</f>
        <v>0</v>
      </c>
      <c r="F20" s="14">
        <f>IF(AND(SUM('Step 2 - Order Planner'!G26:G37)&gt;=3000,SUM('Step 2 - Order Planner'!G26:G37)&lt;8000),0.04,0)</f>
        <v>0</v>
      </c>
      <c r="G20" s="14">
        <f>SUM(E20:F20)</f>
        <v>0</v>
      </c>
      <c r="H20" s="117">
        <f>A20-$H$19</f>
        <v>3000</v>
      </c>
      <c r="I20" s="118">
        <v>0.04</v>
      </c>
    </row>
    <row r="21" spans="1:21" x14ac:dyDescent="0.25">
      <c r="A21" s="13">
        <v>8000</v>
      </c>
      <c r="B21" s="13">
        <f>A22-1</f>
        <v>19999</v>
      </c>
      <c r="C21" s="14">
        <v>0.06</v>
      </c>
      <c r="D21" s="14">
        <v>0.06</v>
      </c>
      <c r="E21" s="14" t="b">
        <f>IF(AND(('Step 2 - Order Planner'!$G$41+'Step 2 - Order Planner'!$I$41+'Step 2 - Order Planner'!$G$72)&gt;=3000,'Step 2 - Order Planner'!$G$41+'Step 2 - Order Planner'!$I$41+'Step 2 - Order Planner'!$G$72&gt;=$A21,'Step 2 - Order Planner'!$G$41+'Step 2 - Order Planner'!$I$41+'Step 2 - Order Planner'!$G$72&lt;=$B21,S18&lt;=3),C21)</f>
        <v>0</v>
      </c>
      <c r="F21" s="14"/>
      <c r="G21" s="14">
        <f>SUM(E21:F21)</f>
        <v>0</v>
      </c>
      <c r="H21" s="117">
        <f>A21-$H$19</f>
        <v>8000</v>
      </c>
      <c r="I21" s="118">
        <v>0.06</v>
      </c>
      <c r="L21" s="4" t="s">
        <v>1</v>
      </c>
      <c r="M21" s="4" t="s">
        <v>10</v>
      </c>
      <c r="N21" s="4" t="s">
        <v>0</v>
      </c>
      <c r="O21" s="4" t="s">
        <v>258</v>
      </c>
      <c r="P21" s="4" t="s">
        <v>259</v>
      </c>
      <c r="Q21" s="4" t="s">
        <v>279</v>
      </c>
      <c r="R21" s="4" t="s">
        <v>282</v>
      </c>
      <c r="S21" s="4" t="s">
        <v>280</v>
      </c>
      <c r="T21" s="4" t="s">
        <v>281</v>
      </c>
    </row>
    <row r="22" spans="1:21" x14ac:dyDescent="0.25">
      <c r="A22" s="13">
        <v>20000</v>
      </c>
      <c r="B22" s="13">
        <v>1000000</v>
      </c>
      <c r="C22" s="14">
        <v>0.12</v>
      </c>
      <c r="D22" s="14">
        <v>0.12</v>
      </c>
      <c r="E22" s="14" t="b">
        <f>IF(AND(('Step 2 - Order Planner'!$G$41+'Step 2 - Order Planner'!$I$41+'Step 2 - Order Planner'!$G$72)&gt;=3000,'Step 2 - Order Planner'!$G$41+'Step 2 - Order Planner'!$I$41+'Step 2 - Order Planner'!$G$72&gt;=$A22,'Step 2 - Order Planner'!$G$41+'Step 2 - Order Planner'!$I$41+'Step 2 - Order Planner'!$G$72&lt;=$B22,S18&lt;=3),C22)</f>
        <v>0</v>
      </c>
      <c r="F22" s="14"/>
      <c r="G22" s="14">
        <f>SUM(E22:F22)</f>
        <v>0</v>
      </c>
      <c r="H22" s="117">
        <f>A22-$H$19</f>
        <v>20000</v>
      </c>
      <c r="I22" s="118">
        <v>0.12</v>
      </c>
      <c r="L22" s="1">
        <v>4059026671</v>
      </c>
      <c r="M22" s="2" t="str">
        <f>VLOOKUP($L22,'Article Reference'!$A$3:$C$53,2,FALSE)</f>
        <v>Aramax™ Intrinsic® brand Fungicide</v>
      </c>
      <c r="N22" s="1"/>
      <c r="O22" s="163"/>
      <c r="P22" s="163"/>
      <c r="Q22" s="163">
        <v>3</v>
      </c>
      <c r="R22" s="187">
        <f>IF(Q22&gt;=3,0.04,0)</f>
        <v>0.04</v>
      </c>
      <c r="S22" s="188"/>
      <c r="T22" s="188"/>
    </row>
    <row r="23" spans="1:21" x14ac:dyDescent="0.25">
      <c r="C23" s="322" t="s">
        <v>40</v>
      </c>
      <c r="D23" s="323"/>
      <c r="E23" s="17">
        <f>SUM(E20:E22)</f>
        <v>0</v>
      </c>
      <c r="F23" s="17">
        <f>SUM(F20:F22)</f>
        <v>0</v>
      </c>
      <c r="G23" s="17">
        <f>SUM(E23:F23)</f>
        <v>0</v>
      </c>
      <c r="H23" s="117">
        <f t="array" ref="H23">MIN(IF(H20:H22&gt;0,H20:H22))</f>
        <v>3000</v>
      </c>
      <c r="L23" s="231">
        <v>4059032487</v>
      </c>
      <c r="M23" s="232" t="str">
        <f>VLOOKUP($L23,'Article Reference'!$A$3:$C$53,2,FALSE)</f>
        <v>Tower® herbicide</v>
      </c>
      <c r="N23" s="231" t="str">
        <f>VLOOKUP($L23,'Article Reference'!$A$3:$C$53,3,FALSE)</f>
        <v>2 x 2.5 gal</v>
      </c>
      <c r="O23" s="233">
        <v>0</v>
      </c>
      <c r="P23" s="233">
        <v>0</v>
      </c>
      <c r="Q23" s="233">
        <v>2</v>
      </c>
      <c r="R23" s="234">
        <f>IF(Q23&gt;=2,0.05,0)</f>
        <v>0.05</v>
      </c>
      <c r="S23" s="235">
        <v>0</v>
      </c>
      <c r="T23" s="235">
        <v>0</v>
      </c>
    </row>
    <row r="24" spans="1:21" x14ac:dyDescent="0.25">
      <c r="D24" s="12"/>
      <c r="L24" s="1">
        <v>4059028040</v>
      </c>
      <c r="M24" s="2" t="str">
        <f>VLOOKUP($L24,'Article Reference'!$A$3:$C$53,2,FALSE)</f>
        <v>Insignia® SC Intrinsic® brand fungicide</v>
      </c>
      <c r="N24" s="1" t="str">
        <f>VLOOKUP($L24,'Article Reference'!$A$3:$C$53,3,FALSE)</f>
        <v>2 x 2.5 gal</v>
      </c>
      <c r="O24" s="163">
        <f>'Step 2 - Order Planner'!F31+'Step 2 - Order Planner'!H31</f>
        <v>0</v>
      </c>
      <c r="P24" s="163">
        <f>O24*2</f>
        <v>0</v>
      </c>
      <c r="Q24" s="163">
        <v>2</v>
      </c>
      <c r="R24" s="187">
        <f>IF(Q24&gt;=2,0.04,0)</f>
        <v>0.04</v>
      </c>
      <c r="S24" s="188">
        <f>'Step 2 - Order Planner'!G31+'Step 2 - Order Planner'!I31</f>
        <v>0</v>
      </c>
      <c r="T24" s="188">
        <f>IF(P24&gt;=Q24,R24*S24,0)</f>
        <v>0</v>
      </c>
    </row>
    <row r="25" spans="1:21" x14ac:dyDescent="0.25">
      <c r="H25" s="117"/>
      <c r="L25" s="1">
        <v>4059018095</v>
      </c>
      <c r="M25" s="2" t="str">
        <f>VLOOKUP($L25,'Article Reference'!$A$3:$C$53,2,FALSE)</f>
        <v>Navicon® Intrinsic® brand fungicide</v>
      </c>
      <c r="N25" s="1" t="str">
        <f>VLOOKUP($L25,'Article Reference'!$A$3:$C$53,3,FALSE)</f>
        <v>2 x 2.5 gal</v>
      </c>
      <c r="O25" s="163">
        <f>'Step 2 - Order Planner'!F36+'Step 2 - Order Planner'!H36</f>
        <v>0</v>
      </c>
      <c r="P25" s="163">
        <f>O25*2</f>
        <v>0</v>
      </c>
      <c r="Q25" s="163">
        <v>3</v>
      </c>
      <c r="R25" s="187">
        <f>IF(Q25&gt;=3,0.04,0)</f>
        <v>0.04</v>
      </c>
      <c r="S25" s="188">
        <f>'Step 2 - Order Planner'!G36+'Step 2 - Order Planner'!I36</f>
        <v>0</v>
      </c>
      <c r="T25" s="188">
        <f>IF(P25&gt;=Q25,R25*S25,0)</f>
        <v>0</v>
      </c>
    </row>
    <row r="26" spans="1:21" x14ac:dyDescent="0.25">
      <c r="K26" s="189" t="s">
        <v>276</v>
      </c>
      <c r="L26" s="1">
        <v>4059012885</v>
      </c>
      <c r="M26" s="2" t="str">
        <f>VLOOKUP($L26,'Article Reference'!$A$3:$C$53,2,FALSE)</f>
        <v>Honor® Intrinsic® brand fungicide</v>
      </c>
      <c r="N26" s="1" t="str">
        <f>VLOOKUP($L26,'Article Reference'!$A$3:$C$53,3,FALSE)</f>
        <v>1 x 36 lb</v>
      </c>
      <c r="O26" s="163">
        <f>'Step 2 - Order Planner'!F29+'Step 2 - Order Planner'!H29</f>
        <v>0</v>
      </c>
      <c r="P26" s="163">
        <f>O26*1</f>
        <v>0</v>
      </c>
      <c r="Q26" s="163">
        <v>2</v>
      </c>
      <c r="R26" s="187">
        <f>IF(Q26&gt;=2,0.04,0)</f>
        <v>0.04</v>
      </c>
      <c r="S26" s="188">
        <f>'Step 2 - Order Planner'!G29+'Step 2 - Order Planner'!I29</f>
        <v>0</v>
      </c>
      <c r="T26" s="188">
        <f>IF(P26&gt;=Q26,R26*S26,0)</f>
        <v>0</v>
      </c>
      <c r="U26" s="12" t="s">
        <v>289</v>
      </c>
    </row>
  </sheetData>
  <mergeCells count="19">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 ref="R13:R14"/>
    <mergeCell ref="Q13:Q14"/>
    <mergeCell ref="R15:R17"/>
  </mergeCells>
  <pageMargins left="0.7" right="0.7" top="0.75" bottom="0.75" header="0.3" footer="0.3"/>
  <pageSetup orientation="portrait" r:id="rId1"/>
  <headerFooter>
    <oddFooter>&amp;C_x000D_&amp;1#&amp;"Arial"&amp;10&amp;K000000 Internal</oddFooter>
  </headerFooter>
  <ignoredErrors>
    <ignoredError sqref="R25" formula="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55"/>
  <sheetViews>
    <sheetView topLeftCell="A22" workbookViewId="0">
      <selection activeCell="E18" sqref="E18"/>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8.85546875" style="7"/>
    <col min="8" max="8" width="11.5703125" style="7" bestFit="1" customWidth="1"/>
    <col min="9" max="9" width="2.140625" style="7" customWidth="1"/>
    <col min="10" max="10" width="9.85546875" style="7" bestFit="1" customWidth="1"/>
    <col min="11" max="11" width="24.5703125" style="7" bestFit="1" customWidth="1"/>
    <col min="12" max="12" width="13.85546875" style="7" bestFit="1" customWidth="1"/>
    <col min="13" max="13" width="11.140625" style="7" customWidth="1"/>
    <col min="14" max="16384" width="8.85546875" style="7"/>
  </cols>
  <sheetData>
    <row r="1" spans="1:11" x14ac:dyDescent="0.2">
      <c r="A1" s="335" t="s">
        <v>268</v>
      </c>
      <c r="B1" s="335"/>
      <c r="C1" s="335"/>
      <c r="D1" s="335"/>
      <c r="E1" s="335"/>
    </row>
    <row r="2" spans="1:11" x14ac:dyDescent="0.2">
      <c r="A2" s="197" t="s">
        <v>1</v>
      </c>
      <c r="B2" s="197" t="s">
        <v>10</v>
      </c>
      <c r="C2" s="197" t="s">
        <v>0</v>
      </c>
      <c r="D2" s="197" t="s">
        <v>56</v>
      </c>
      <c r="E2" s="197" t="s">
        <v>247</v>
      </c>
      <c r="F2" s="126" t="s">
        <v>180</v>
      </c>
      <c r="G2" s="126" t="s">
        <v>181</v>
      </c>
      <c r="H2" s="126" t="s">
        <v>182</v>
      </c>
    </row>
    <row r="3" spans="1:11" x14ac:dyDescent="0.2">
      <c r="A3" s="185">
        <v>4059026671</v>
      </c>
      <c r="B3" s="2" t="s">
        <v>270</v>
      </c>
      <c r="C3" s="1" t="s">
        <v>24</v>
      </c>
      <c r="D3" s="61">
        <v>5477.4</v>
      </c>
      <c r="E3" s="61">
        <v>5640.36</v>
      </c>
      <c r="F3" s="7">
        <v>5</v>
      </c>
      <c r="G3" s="114">
        <f>H3/F3</f>
        <v>1095.48</v>
      </c>
      <c r="H3" s="115">
        <f>D3</f>
        <v>5477.4</v>
      </c>
      <c r="J3" s="191" t="s">
        <v>207</v>
      </c>
      <c r="K3" s="191" t="s">
        <v>288</v>
      </c>
    </row>
    <row r="4" spans="1:11" x14ac:dyDescent="0.2">
      <c r="A4" s="185">
        <v>4059032979</v>
      </c>
      <c r="B4" s="2" t="s">
        <v>266</v>
      </c>
      <c r="C4" s="1" t="s">
        <v>267</v>
      </c>
      <c r="D4" s="61">
        <v>1553.84</v>
      </c>
      <c r="E4" s="61">
        <v>1600.8</v>
      </c>
      <c r="F4" s="7">
        <f>4*43.5</f>
        <v>174</v>
      </c>
      <c r="G4" s="114">
        <f>H4/F4</f>
        <v>8.9301149425287356</v>
      </c>
      <c r="H4" s="115">
        <f>D4</f>
        <v>1553.84</v>
      </c>
      <c r="J4" s="191" t="s">
        <v>207</v>
      </c>
      <c r="K4" s="191" t="s">
        <v>288</v>
      </c>
    </row>
    <row r="5" spans="1:11" x14ac:dyDescent="0.2">
      <c r="A5" s="185">
        <v>4059021463</v>
      </c>
      <c r="B5" s="2" t="s">
        <v>150</v>
      </c>
      <c r="C5" s="1" t="s">
        <v>2</v>
      </c>
      <c r="D5" s="61">
        <v>1299.5</v>
      </c>
      <c r="E5" s="61">
        <v>1338.1</v>
      </c>
      <c r="F5" s="7">
        <f>10*0.49</f>
        <v>4.9000000000000004</v>
      </c>
      <c r="G5" s="114">
        <f>H5/F5</f>
        <v>265.20408163265301</v>
      </c>
      <c r="H5" s="115">
        <f>D5</f>
        <v>1299.5</v>
      </c>
    </row>
    <row r="6" spans="1:11" x14ac:dyDescent="0.2">
      <c r="A6" s="185">
        <v>4059014003</v>
      </c>
      <c r="B6" s="2" t="s">
        <v>190</v>
      </c>
      <c r="C6" s="1" t="s">
        <v>24</v>
      </c>
      <c r="D6" s="116">
        <v>714</v>
      </c>
      <c r="E6" s="116">
        <v>735.26</v>
      </c>
      <c r="F6" s="7">
        <f>2*2.5</f>
        <v>5</v>
      </c>
      <c r="G6" s="114">
        <f t="shared" ref="G6:G17" si="0">H6/F6</f>
        <v>142.80000000000001</v>
      </c>
      <c r="H6" s="115">
        <f t="shared" ref="H6:H17" si="1">D6</f>
        <v>714</v>
      </c>
    </row>
    <row r="7" spans="1:11" x14ac:dyDescent="0.2">
      <c r="A7" s="185">
        <v>4059012350</v>
      </c>
      <c r="B7" s="2" t="s">
        <v>151</v>
      </c>
      <c r="C7" s="1" t="s">
        <v>4</v>
      </c>
      <c r="D7" s="61">
        <v>3745.44</v>
      </c>
      <c r="E7" s="61">
        <v>3856.86</v>
      </c>
      <c r="F7" s="7">
        <f>6*3</f>
        <v>18</v>
      </c>
      <c r="G7" s="114">
        <f t="shared" si="0"/>
        <v>208.08</v>
      </c>
      <c r="H7" s="115">
        <f t="shared" si="1"/>
        <v>3745.44</v>
      </c>
    </row>
    <row r="8" spans="1:11" x14ac:dyDescent="0.2">
      <c r="A8" s="185">
        <v>4059012885</v>
      </c>
      <c r="B8" s="2" t="s">
        <v>151</v>
      </c>
      <c r="C8" s="1" t="s">
        <v>5</v>
      </c>
      <c r="D8" s="61">
        <v>5434.56</v>
      </c>
      <c r="E8" s="61">
        <v>5596.2</v>
      </c>
      <c r="F8" s="7">
        <v>36</v>
      </c>
      <c r="G8" s="114">
        <f t="shared" si="0"/>
        <v>150.96</v>
      </c>
      <c r="H8" s="115">
        <f t="shared" si="1"/>
        <v>5434.56</v>
      </c>
    </row>
    <row r="9" spans="1:11" x14ac:dyDescent="0.2">
      <c r="A9" s="185">
        <v>4059028038</v>
      </c>
      <c r="B9" s="2" t="s">
        <v>152</v>
      </c>
      <c r="C9" s="1" t="s">
        <v>6</v>
      </c>
      <c r="D9" s="116">
        <v>2426.6</v>
      </c>
      <c r="E9" s="116">
        <v>2498.56</v>
      </c>
      <c r="F9" s="7">
        <f>4*30.5</f>
        <v>122</v>
      </c>
      <c r="G9" s="114">
        <f t="shared" si="0"/>
        <v>19.89016393442623</v>
      </c>
      <c r="H9" s="115">
        <f t="shared" si="1"/>
        <v>2426.6</v>
      </c>
    </row>
    <row r="10" spans="1:11" x14ac:dyDescent="0.2">
      <c r="A10" s="185">
        <v>4059028040</v>
      </c>
      <c r="B10" s="2" t="s">
        <v>152</v>
      </c>
      <c r="C10" s="1" t="s">
        <v>24</v>
      </c>
      <c r="D10" s="61">
        <v>7894.8</v>
      </c>
      <c r="E10" s="61">
        <v>8129.66</v>
      </c>
      <c r="F10" s="7">
        <v>5</v>
      </c>
      <c r="G10" s="114">
        <f t="shared" si="0"/>
        <v>1578.96</v>
      </c>
      <c r="H10" s="115">
        <f t="shared" si="1"/>
        <v>7894.8</v>
      </c>
    </row>
    <row r="11" spans="1:11" x14ac:dyDescent="0.2">
      <c r="A11" s="185">
        <v>4059027998</v>
      </c>
      <c r="B11" s="2" t="s">
        <v>153</v>
      </c>
      <c r="C11" s="1" t="s">
        <v>26</v>
      </c>
      <c r="D11" s="61">
        <v>2635.08</v>
      </c>
      <c r="E11" s="61">
        <v>2713.2</v>
      </c>
      <c r="F11" s="7">
        <f>4*21</f>
        <v>84</v>
      </c>
      <c r="G11" s="114">
        <f t="shared" si="0"/>
        <v>31.369999999999997</v>
      </c>
      <c r="H11" s="115">
        <f t="shared" si="1"/>
        <v>2635.08</v>
      </c>
    </row>
    <row r="12" spans="1:11" x14ac:dyDescent="0.2">
      <c r="A12" s="185">
        <v>4059018087</v>
      </c>
      <c r="B12" s="2" t="s">
        <v>154</v>
      </c>
      <c r="C12" s="1" t="s">
        <v>129</v>
      </c>
      <c r="D12" s="61">
        <v>997.36</v>
      </c>
      <c r="E12" s="61">
        <v>1027.52</v>
      </c>
      <c r="F12" s="7">
        <f>4*26</f>
        <v>104</v>
      </c>
      <c r="G12" s="114">
        <f t="shared" si="0"/>
        <v>9.59</v>
      </c>
      <c r="H12" s="115">
        <f t="shared" si="1"/>
        <v>997.36</v>
      </c>
    </row>
    <row r="13" spans="1:11" x14ac:dyDescent="0.2">
      <c r="A13" s="185">
        <v>4059018071</v>
      </c>
      <c r="B13" s="2" t="s">
        <v>154</v>
      </c>
      <c r="C13" s="1" t="s">
        <v>24</v>
      </c>
      <c r="D13" s="61">
        <v>4896</v>
      </c>
      <c r="E13" s="61">
        <v>5041.66</v>
      </c>
      <c r="F13" s="7">
        <v>5</v>
      </c>
      <c r="G13" s="114">
        <f t="shared" si="0"/>
        <v>979.2</v>
      </c>
      <c r="H13" s="115">
        <f t="shared" si="1"/>
        <v>4896</v>
      </c>
    </row>
    <row r="14" spans="1:11" x14ac:dyDescent="0.2">
      <c r="A14" s="185">
        <v>4059018094</v>
      </c>
      <c r="B14" s="3" t="s">
        <v>155</v>
      </c>
      <c r="C14" s="1" t="s">
        <v>130</v>
      </c>
      <c r="D14" s="61">
        <v>2415.36</v>
      </c>
      <c r="E14" s="61">
        <v>2487.88</v>
      </c>
      <c r="F14" s="7">
        <f>4*37</f>
        <v>148</v>
      </c>
      <c r="G14" s="114">
        <f t="shared" si="0"/>
        <v>16.32</v>
      </c>
      <c r="H14" s="115">
        <f t="shared" si="1"/>
        <v>2415.36</v>
      </c>
    </row>
    <row r="15" spans="1:11" x14ac:dyDescent="0.2">
      <c r="A15" s="185">
        <v>4059018095</v>
      </c>
      <c r="B15" s="3" t="s">
        <v>155</v>
      </c>
      <c r="C15" s="8" t="s">
        <v>24</v>
      </c>
      <c r="D15" s="61">
        <v>7650</v>
      </c>
      <c r="E15" s="61">
        <v>7877.6</v>
      </c>
      <c r="F15" s="7">
        <v>5</v>
      </c>
      <c r="G15" s="114">
        <f t="shared" si="0"/>
        <v>1530</v>
      </c>
      <c r="H15" s="115">
        <f t="shared" si="1"/>
        <v>7650</v>
      </c>
    </row>
    <row r="16" spans="1:11" x14ac:dyDescent="0.2">
      <c r="A16" s="185">
        <v>4059013833</v>
      </c>
      <c r="B16" s="2" t="s">
        <v>156</v>
      </c>
      <c r="C16" s="1" t="s">
        <v>20</v>
      </c>
      <c r="D16" s="61">
        <v>3775.68</v>
      </c>
      <c r="E16" s="61">
        <v>3887.4</v>
      </c>
      <c r="F16" s="7">
        <f>2*114</f>
        <v>228</v>
      </c>
      <c r="G16" s="114">
        <f t="shared" si="0"/>
        <v>16.559999999999999</v>
      </c>
      <c r="H16" s="115">
        <f t="shared" si="1"/>
        <v>3775.68</v>
      </c>
    </row>
    <row r="17" spans="1:13" x14ac:dyDescent="0.2">
      <c r="A17" s="185">
        <v>4059014120</v>
      </c>
      <c r="B17" s="2" t="s">
        <v>156</v>
      </c>
      <c r="C17" s="1" t="s">
        <v>9</v>
      </c>
      <c r="D17" s="61">
        <v>904.24</v>
      </c>
      <c r="E17" s="61">
        <v>931.16</v>
      </c>
      <c r="F17" s="7">
        <f>4*11.4</f>
        <v>45.6</v>
      </c>
      <c r="G17" s="114">
        <f t="shared" si="0"/>
        <v>19.829824561403509</v>
      </c>
      <c r="H17" s="115">
        <f t="shared" si="1"/>
        <v>904.24</v>
      </c>
      <c r="J17" s="115"/>
      <c r="K17" s="115"/>
    </row>
    <row r="18" spans="1:13" x14ac:dyDescent="0.2">
      <c r="A18" s="154"/>
      <c r="B18" s="153"/>
      <c r="C18" s="152"/>
      <c r="D18" s="155">
        <f>SUM(D3:D17)</f>
        <v>51819.86</v>
      </c>
      <c r="E18" s="155">
        <f>SUM(E3:E17)</f>
        <v>53362.220000000008</v>
      </c>
      <c r="G18" s="114"/>
      <c r="H18" s="115"/>
      <c r="J18" s="115"/>
      <c r="K18" s="115"/>
    </row>
    <row r="19" spans="1:13" x14ac:dyDescent="0.2">
      <c r="A19" s="335" t="s">
        <v>291</v>
      </c>
      <c r="B19" s="335"/>
      <c r="C19" s="335"/>
      <c r="D19" s="335"/>
      <c r="E19" s="335"/>
      <c r="G19" s="114"/>
    </row>
    <row r="20" spans="1:13" x14ac:dyDescent="0.2">
      <c r="A20" s="4" t="s">
        <v>1</v>
      </c>
      <c r="B20" s="4" t="s">
        <v>10</v>
      </c>
      <c r="C20" s="4" t="s">
        <v>0</v>
      </c>
      <c r="D20" s="4" t="s">
        <v>56</v>
      </c>
      <c r="E20" s="4" t="s">
        <v>247</v>
      </c>
      <c r="G20" s="114"/>
    </row>
    <row r="21" spans="1:13" x14ac:dyDescent="0.2">
      <c r="A21" s="185">
        <v>4059014151</v>
      </c>
      <c r="B21" s="5" t="s">
        <v>165</v>
      </c>
      <c r="C21" s="6" t="s">
        <v>131</v>
      </c>
      <c r="D21" s="198">
        <v>300.92</v>
      </c>
      <c r="E21" s="61">
        <f>D21</f>
        <v>300.92</v>
      </c>
      <c r="F21" s="7">
        <v>4</v>
      </c>
      <c r="G21" s="114">
        <f t="shared" ref="G21:G53" si="2">H21/F21</f>
        <v>75.23</v>
      </c>
      <c r="H21" s="115">
        <f t="shared" ref="H21:H53" si="3">D21</f>
        <v>300.92</v>
      </c>
    </row>
    <row r="22" spans="1:13" x14ac:dyDescent="0.2">
      <c r="A22" s="185">
        <v>4059024020</v>
      </c>
      <c r="B22" s="5" t="s">
        <v>206</v>
      </c>
      <c r="C22" s="6" t="s">
        <v>220</v>
      </c>
      <c r="D22" s="116">
        <v>2979.7000000000003</v>
      </c>
      <c r="E22" s="147" t="s">
        <v>248</v>
      </c>
      <c r="F22" s="7">
        <f>10*38</f>
        <v>380</v>
      </c>
      <c r="G22" s="114">
        <f t="shared" si="2"/>
        <v>7.8413157894736853</v>
      </c>
      <c r="H22" s="115">
        <f t="shared" si="3"/>
        <v>2979.7000000000003</v>
      </c>
    </row>
    <row r="23" spans="1:13" x14ac:dyDescent="0.2">
      <c r="A23" s="185">
        <v>4059021451</v>
      </c>
      <c r="B23" s="5" t="s">
        <v>89</v>
      </c>
      <c r="C23" s="6" t="s">
        <v>90</v>
      </c>
      <c r="D23" s="198">
        <v>669.38</v>
      </c>
      <c r="E23" s="61">
        <f>D23</f>
        <v>669.38</v>
      </c>
      <c r="F23" s="7">
        <v>25</v>
      </c>
      <c r="G23" s="114">
        <f t="shared" si="2"/>
        <v>26.775199999999998</v>
      </c>
      <c r="H23" s="115">
        <f t="shared" si="3"/>
        <v>669.38</v>
      </c>
    </row>
    <row r="24" spans="1:13" x14ac:dyDescent="0.2">
      <c r="A24" s="185">
        <v>4059011636</v>
      </c>
      <c r="B24" s="10" t="s">
        <v>163</v>
      </c>
      <c r="C24" s="6" t="s">
        <v>132</v>
      </c>
      <c r="D24" s="116">
        <v>130.06</v>
      </c>
      <c r="E24" s="147" t="s">
        <v>248</v>
      </c>
      <c r="F24" s="7">
        <v>2</v>
      </c>
      <c r="G24" s="114">
        <f t="shared" si="2"/>
        <v>65.03</v>
      </c>
      <c r="H24" s="115">
        <f t="shared" si="3"/>
        <v>130.06</v>
      </c>
    </row>
    <row r="25" spans="1:13" x14ac:dyDescent="0.2">
      <c r="A25" s="185">
        <v>4059013424</v>
      </c>
      <c r="B25" s="10" t="s">
        <v>183</v>
      </c>
      <c r="C25" s="6" t="s">
        <v>131</v>
      </c>
      <c r="D25" s="61">
        <v>515.12</v>
      </c>
      <c r="E25" s="61">
        <f>D25</f>
        <v>515.12</v>
      </c>
      <c r="F25" s="7">
        <v>4</v>
      </c>
      <c r="G25" s="114">
        <f t="shared" si="2"/>
        <v>128.78</v>
      </c>
      <c r="H25" s="115">
        <f t="shared" si="3"/>
        <v>515.12</v>
      </c>
    </row>
    <row r="26" spans="1:13" x14ac:dyDescent="0.2">
      <c r="A26" s="185">
        <v>4059030455</v>
      </c>
      <c r="B26" s="10" t="s">
        <v>164</v>
      </c>
      <c r="C26" s="6" t="s">
        <v>133</v>
      </c>
      <c r="D26" s="61">
        <v>232.72</v>
      </c>
      <c r="E26" s="61">
        <f>D26</f>
        <v>232.72</v>
      </c>
      <c r="F26" s="7">
        <f>4*0.5</f>
        <v>2</v>
      </c>
      <c r="G26" s="114">
        <f t="shared" si="2"/>
        <v>116.36</v>
      </c>
      <c r="H26" s="115">
        <f t="shared" si="3"/>
        <v>232.72</v>
      </c>
    </row>
    <row r="27" spans="1:13" x14ac:dyDescent="0.2">
      <c r="A27" s="185">
        <v>4059030454</v>
      </c>
      <c r="B27" s="10" t="s">
        <v>164</v>
      </c>
      <c r="C27" s="6" t="s">
        <v>24</v>
      </c>
      <c r="D27" s="61">
        <v>540.32000000000005</v>
      </c>
      <c r="E27" s="61">
        <f>D27</f>
        <v>540.32000000000005</v>
      </c>
      <c r="G27" s="114"/>
      <c r="H27" s="115">
        <f t="shared" si="3"/>
        <v>540.32000000000005</v>
      </c>
    </row>
    <row r="28" spans="1:13" x14ac:dyDescent="0.2">
      <c r="A28" s="9"/>
      <c r="B28" s="10" t="s">
        <v>193</v>
      </c>
      <c r="C28" s="6" t="s">
        <v>24</v>
      </c>
      <c r="D28" s="199"/>
      <c r="E28" s="199"/>
      <c r="F28" s="7">
        <v>5</v>
      </c>
      <c r="G28" s="114">
        <f t="shared" ref="G28" si="4">H28/F28</f>
        <v>0</v>
      </c>
      <c r="H28" s="115">
        <f t="shared" si="3"/>
        <v>0</v>
      </c>
      <c r="J28" s="148" t="s">
        <v>207</v>
      </c>
      <c r="K28" s="148" t="s">
        <v>262</v>
      </c>
    </row>
    <row r="29" spans="1:13" x14ac:dyDescent="0.2">
      <c r="A29" s="9"/>
      <c r="B29" s="10" t="s">
        <v>148</v>
      </c>
      <c r="C29" s="89" t="s">
        <v>3</v>
      </c>
      <c r="D29" s="199"/>
      <c r="E29" s="199"/>
      <c r="F29" s="7">
        <v>50</v>
      </c>
      <c r="G29" s="114">
        <f t="shared" si="2"/>
        <v>0</v>
      </c>
      <c r="H29" s="115">
        <f t="shared" si="3"/>
        <v>0</v>
      </c>
      <c r="J29" s="9">
        <v>59013674</v>
      </c>
      <c r="K29" s="10" t="s">
        <v>166</v>
      </c>
      <c r="L29" s="6" t="s">
        <v>3</v>
      </c>
      <c r="M29" s="148" t="s">
        <v>274</v>
      </c>
    </row>
    <row r="30" spans="1:13" x14ac:dyDescent="0.2">
      <c r="A30" s="185">
        <v>4059030464</v>
      </c>
      <c r="B30" s="10" t="s">
        <v>157</v>
      </c>
      <c r="C30" s="6" t="s">
        <v>24</v>
      </c>
      <c r="D30" s="61">
        <v>446.26</v>
      </c>
      <c r="E30" s="61">
        <f>D30</f>
        <v>446.26</v>
      </c>
      <c r="F30" s="7">
        <v>5</v>
      </c>
      <c r="G30" s="114">
        <f t="shared" si="2"/>
        <v>89.251999999999995</v>
      </c>
      <c r="H30" s="115">
        <f t="shared" si="3"/>
        <v>446.26</v>
      </c>
    </row>
    <row r="31" spans="1:13" x14ac:dyDescent="0.2">
      <c r="A31" s="185">
        <v>4059030456</v>
      </c>
      <c r="B31" s="10" t="s">
        <v>143</v>
      </c>
      <c r="C31" s="6" t="s">
        <v>131</v>
      </c>
      <c r="D31" s="61">
        <v>938.4</v>
      </c>
      <c r="E31" s="61">
        <f>D31</f>
        <v>938.4</v>
      </c>
      <c r="F31" s="7">
        <v>4</v>
      </c>
      <c r="G31" s="114">
        <f t="shared" si="2"/>
        <v>234.6</v>
      </c>
      <c r="H31" s="115">
        <f t="shared" si="3"/>
        <v>938.4</v>
      </c>
    </row>
    <row r="32" spans="1:13" x14ac:dyDescent="0.2">
      <c r="A32" s="185">
        <v>4059023772</v>
      </c>
      <c r="B32" s="10" t="s">
        <v>143</v>
      </c>
      <c r="C32" s="6" t="s">
        <v>95</v>
      </c>
      <c r="D32" s="61">
        <v>2715.75</v>
      </c>
      <c r="E32" s="61">
        <f>D32</f>
        <v>2715.75</v>
      </c>
      <c r="F32" s="7">
        <v>1</v>
      </c>
      <c r="G32" s="114">
        <f t="shared" si="2"/>
        <v>2715.75</v>
      </c>
      <c r="H32" s="115">
        <f t="shared" si="3"/>
        <v>2715.75</v>
      </c>
    </row>
    <row r="33" spans="1:12" x14ac:dyDescent="0.2">
      <c r="A33" s="185">
        <v>4059030457</v>
      </c>
      <c r="B33" s="10" t="s">
        <v>158</v>
      </c>
      <c r="C33" s="6" t="s">
        <v>131</v>
      </c>
      <c r="D33" s="61">
        <v>846.6</v>
      </c>
      <c r="E33" s="61">
        <f>D33</f>
        <v>846.6</v>
      </c>
      <c r="F33" s="7">
        <v>4</v>
      </c>
      <c r="G33" s="114">
        <f t="shared" si="2"/>
        <v>211.65</v>
      </c>
      <c r="H33" s="115">
        <f t="shared" si="3"/>
        <v>846.6</v>
      </c>
    </row>
    <row r="34" spans="1:12" ht="14.25" x14ac:dyDescent="0.2">
      <c r="A34" s="200"/>
      <c r="B34" s="201" t="s">
        <v>208</v>
      </c>
      <c r="C34" s="202" t="s">
        <v>205</v>
      </c>
      <c r="D34" s="203"/>
      <c r="E34" s="204">
        <f>D34</f>
        <v>0</v>
      </c>
      <c r="F34" s="7">
        <f>4*122</f>
        <v>488</v>
      </c>
      <c r="G34" s="114">
        <f t="shared" si="2"/>
        <v>0</v>
      </c>
      <c r="H34" s="115">
        <f t="shared" si="3"/>
        <v>0</v>
      </c>
      <c r="J34" s="148" t="s">
        <v>207</v>
      </c>
      <c r="K34" s="148" t="s">
        <v>260</v>
      </c>
    </row>
    <row r="35" spans="1:12" x14ac:dyDescent="0.2">
      <c r="A35" s="205">
        <v>4059014379</v>
      </c>
      <c r="B35" s="206" t="s">
        <v>160</v>
      </c>
      <c r="C35" s="207" t="s">
        <v>188</v>
      </c>
      <c r="D35" s="208">
        <v>684.8</v>
      </c>
      <c r="E35" s="208">
        <v>705.28</v>
      </c>
      <c r="F35" s="7">
        <f>4*16</f>
        <v>64</v>
      </c>
      <c r="G35" s="114">
        <f t="shared" si="2"/>
        <v>10.7</v>
      </c>
      <c r="H35" s="115">
        <f t="shared" si="3"/>
        <v>684.8</v>
      </c>
    </row>
    <row r="36" spans="1:12" x14ac:dyDescent="0.2">
      <c r="A36" s="205">
        <v>4059012349</v>
      </c>
      <c r="B36" s="206" t="s">
        <v>142</v>
      </c>
      <c r="C36" s="207" t="s">
        <v>7</v>
      </c>
      <c r="D36" s="208">
        <v>483.28</v>
      </c>
      <c r="E36" s="208">
        <v>497.64</v>
      </c>
      <c r="F36" s="7">
        <v>4</v>
      </c>
      <c r="G36" s="114">
        <f t="shared" si="2"/>
        <v>120.82</v>
      </c>
      <c r="H36" s="115">
        <f t="shared" si="3"/>
        <v>483.28</v>
      </c>
    </row>
    <row r="37" spans="1:12" x14ac:dyDescent="0.2">
      <c r="A37" s="209">
        <v>4059017972</v>
      </c>
      <c r="B37" s="210" t="s">
        <v>161</v>
      </c>
      <c r="C37" s="211" t="s">
        <v>99</v>
      </c>
      <c r="D37" s="212">
        <v>54.25</v>
      </c>
      <c r="E37" s="213">
        <f>D37</f>
        <v>54.25</v>
      </c>
      <c r="F37" s="7">
        <v>20</v>
      </c>
      <c r="G37" s="114">
        <f t="shared" si="2"/>
        <v>2.7124999999999999</v>
      </c>
      <c r="H37" s="115">
        <f t="shared" si="3"/>
        <v>54.25</v>
      </c>
    </row>
    <row r="38" spans="1:12" x14ac:dyDescent="0.2">
      <c r="A38" s="185">
        <v>4059015072</v>
      </c>
      <c r="B38" s="10" t="s">
        <v>161</v>
      </c>
      <c r="C38" s="6" t="s">
        <v>91</v>
      </c>
      <c r="D38" s="214">
        <v>95.5</v>
      </c>
      <c r="E38" s="61">
        <f>D38</f>
        <v>95.5</v>
      </c>
      <c r="F38" s="7">
        <v>40</v>
      </c>
      <c r="G38" s="114">
        <f t="shared" si="2"/>
        <v>2.3875000000000002</v>
      </c>
      <c r="H38" s="115">
        <f t="shared" si="3"/>
        <v>95.5</v>
      </c>
    </row>
    <row r="39" spans="1:12" x14ac:dyDescent="0.2">
      <c r="A39" s="215">
        <v>4059049276</v>
      </c>
      <c r="B39" s="216" t="s">
        <v>149</v>
      </c>
      <c r="C39" s="217" t="s">
        <v>24</v>
      </c>
      <c r="D39" s="218">
        <v>299.62</v>
      </c>
      <c r="E39" s="219">
        <f>D39</f>
        <v>299.62</v>
      </c>
      <c r="F39" s="7">
        <v>5</v>
      </c>
      <c r="G39" s="114">
        <f t="shared" si="2"/>
        <v>59.923999999999999</v>
      </c>
      <c r="H39" s="115">
        <f t="shared" si="3"/>
        <v>299.62</v>
      </c>
    </row>
    <row r="40" spans="1:12" x14ac:dyDescent="0.2">
      <c r="A40" s="205">
        <v>4059011279</v>
      </c>
      <c r="B40" s="206" t="s">
        <v>149</v>
      </c>
      <c r="C40" s="207" t="s">
        <v>8</v>
      </c>
      <c r="D40" s="208">
        <v>1071</v>
      </c>
      <c r="E40" s="208">
        <v>1102.8</v>
      </c>
      <c r="F40" s="7">
        <v>15</v>
      </c>
      <c r="G40" s="114">
        <f t="shared" si="2"/>
        <v>71.400000000000006</v>
      </c>
      <c r="H40" s="115">
        <f t="shared" si="3"/>
        <v>1071</v>
      </c>
    </row>
    <row r="41" spans="1:12" x14ac:dyDescent="0.2">
      <c r="A41" s="209">
        <v>4059017959</v>
      </c>
      <c r="B41" s="220" t="s">
        <v>159</v>
      </c>
      <c r="C41" s="221" t="s">
        <v>93</v>
      </c>
      <c r="D41" s="213">
        <v>63.94</v>
      </c>
      <c r="E41" s="213">
        <f>D41</f>
        <v>63.94</v>
      </c>
      <c r="F41" s="7">
        <v>15</v>
      </c>
      <c r="G41" s="114">
        <f t="shared" si="2"/>
        <v>4.2626666666666662</v>
      </c>
      <c r="H41" s="115">
        <f t="shared" si="3"/>
        <v>63.94</v>
      </c>
      <c r="J41" s="191" t="s">
        <v>207</v>
      </c>
      <c r="K41" s="191" t="s">
        <v>288</v>
      </c>
    </row>
    <row r="42" spans="1:12" x14ac:dyDescent="0.2">
      <c r="A42" s="185">
        <v>4059012784</v>
      </c>
      <c r="B42" s="2" t="s">
        <v>159</v>
      </c>
      <c r="C42" s="1" t="s">
        <v>92</v>
      </c>
      <c r="D42" s="61">
        <v>118.5</v>
      </c>
      <c r="E42" s="61">
        <f>D42</f>
        <v>118.5</v>
      </c>
      <c r="F42" s="7">
        <v>30</v>
      </c>
      <c r="G42" s="114">
        <f t="shared" si="2"/>
        <v>3.95</v>
      </c>
      <c r="H42" s="115">
        <f t="shared" si="3"/>
        <v>118.5</v>
      </c>
      <c r="J42" s="191" t="s">
        <v>207</v>
      </c>
      <c r="K42" s="191" t="s">
        <v>288</v>
      </c>
    </row>
    <row r="43" spans="1:12" x14ac:dyDescent="0.2">
      <c r="A43" s="200"/>
      <c r="B43" s="201" t="s">
        <v>237</v>
      </c>
      <c r="C43" s="202" t="s">
        <v>204</v>
      </c>
      <c r="D43" s="203"/>
      <c r="E43" s="204"/>
      <c r="F43" s="7">
        <f>4*43.5</f>
        <v>174</v>
      </c>
      <c r="G43" s="114">
        <f t="shared" si="2"/>
        <v>0</v>
      </c>
      <c r="H43" s="115">
        <f t="shared" si="3"/>
        <v>0</v>
      </c>
      <c r="J43" s="148" t="s">
        <v>207</v>
      </c>
      <c r="K43" s="148" t="s">
        <v>261</v>
      </c>
      <c r="L43" s="191" t="s">
        <v>288</v>
      </c>
    </row>
    <row r="44" spans="1:12" x14ac:dyDescent="0.2">
      <c r="A44" s="222">
        <v>4059018005</v>
      </c>
      <c r="B44" s="206" t="s">
        <v>162</v>
      </c>
      <c r="C44" s="207" t="s">
        <v>189</v>
      </c>
      <c r="D44" s="208">
        <v>1697.28</v>
      </c>
      <c r="E44" s="208">
        <v>1747.84</v>
      </c>
      <c r="F44" s="7">
        <v>16</v>
      </c>
      <c r="G44" s="114">
        <f t="shared" si="2"/>
        <v>106.08</v>
      </c>
      <c r="H44" s="115">
        <f t="shared" si="3"/>
        <v>1697.28</v>
      </c>
    </row>
    <row r="45" spans="1:12" x14ac:dyDescent="0.2">
      <c r="A45" s="223">
        <v>4059014427</v>
      </c>
      <c r="B45" s="224" t="s">
        <v>146</v>
      </c>
      <c r="C45" s="211" t="s">
        <v>24</v>
      </c>
      <c r="D45" s="213">
        <v>1787.5</v>
      </c>
      <c r="E45" s="225" t="s">
        <v>248</v>
      </c>
      <c r="F45" s="7">
        <v>5</v>
      </c>
      <c r="G45" s="114">
        <f t="shared" si="2"/>
        <v>357.5</v>
      </c>
      <c r="H45" s="115">
        <f t="shared" si="3"/>
        <v>1787.5</v>
      </c>
    </row>
    <row r="46" spans="1:12" x14ac:dyDescent="0.2">
      <c r="A46" s="226">
        <v>4059011057</v>
      </c>
      <c r="B46" s="216" t="s">
        <v>145</v>
      </c>
      <c r="C46" s="217" t="s">
        <v>94</v>
      </c>
      <c r="D46" s="219">
        <v>334.69</v>
      </c>
      <c r="E46" s="219">
        <f>D46</f>
        <v>334.69</v>
      </c>
      <c r="F46" s="7">
        <v>15</v>
      </c>
      <c r="G46" s="114">
        <f t="shared" si="2"/>
        <v>22.312666666666665</v>
      </c>
      <c r="H46" s="115">
        <f t="shared" si="3"/>
        <v>334.69</v>
      </c>
    </row>
    <row r="47" spans="1:12" x14ac:dyDescent="0.2">
      <c r="A47" s="222">
        <v>4059023753</v>
      </c>
      <c r="B47" s="206" t="s">
        <v>147</v>
      </c>
      <c r="C47" s="207" t="s">
        <v>134</v>
      </c>
      <c r="D47" s="208">
        <v>775.2</v>
      </c>
      <c r="E47" s="208">
        <v>798.28</v>
      </c>
      <c r="F47" s="7">
        <f>4*0.125</f>
        <v>0.5</v>
      </c>
      <c r="G47" s="114">
        <f t="shared" si="2"/>
        <v>1550.4</v>
      </c>
      <c r="H47" s="115">
        <f t="shared" si="3"/>
        <v>775.2</v>
      </c>
    </row>
    <row r="48" spans="1:12" x14ac:dyDescent="0.2">
      <c r="A48" s="222">
        <v>4059032487</v>
      </c>
      <c r="B48" s="206" t="s">
        <v>144</v>
      </c>
      <c r="C48" s="207" t="s">
        <v>24</v>
      </c>
      <c r="D48" s="208">
        <v>2208.3000000000002</v>
      </c>
      <c r="E48" s="208">
        <v>2274</v>
      </c>
      <c r="F48" s="7">
        <v>5</v>
      </c>
      <c r="G48" s="114">
        <f t="shared" si="2"/>
        <v>441.66</v>
      </c>
      <c r="H48" s="115">
        <f t="shared" si="3"/>
        <v>2208.3000000000002</v>
      </c>
      <c r="J48" s="191" t="s">
        <v>207</v>
      </c>
      <c r="K48" s="191" t="s">
        <v>288</v>
      </c>
    </row>
    <row r="49" spans="1:10" x14ac:dyDescent="0.2">
      <c r="A49" s="223">
        <v>4059013723</v>
      </c>
      <c r="B49" s="227" t="s">
        <v>184</v>
      </c>
      <c r="C49" s="211" t="s">
        <v>135</v>
      </c>
      <c r="D49" s="213">
        <v>292.56</v>
      </c>
      <c r="E49" s="213">
        <f t="shared" ref="E49:E52" si="5">D49</f>
        <v>292.56</v>
      </c>
      <c r="F49" s="7">
        <f>12*0.25</f>
        <v>3</v>
      </c>
      <c r="G49" s="114">
        <f t="shared" si="2"/>
        <v>97.52</v>
      </c>
      <c r="H49" s="115">
        <f t="shared" si="3"/>
        <v>292.56</v>
      </c>
      <c r="J49" s="7" t="s">
        <v>269</v>
      </c>
    </row>
    <row r="50" spans="1:10" x14ac:dyDescent="0.2">
      <c r="A50" s="186">
        <v>4059013314</v>
      </c>
      <c r="B50" s="11" t="s">
        <v>184</v>
      </c>
      <c r="C50" s="6" t="s">
        <v>95</v>
      </c>
      <c r="D50" s="61">
        <v>1836</v>
      </c>
      <c r="E50" s="61">
        <f t="shared" si="5"/>
        <v>1836</v>
      </c>
      <c r="F50" s="7">
        <v>30</v>
      </c>
      <c r="G50" s="114">
        <f t="shared" si="2"/>
        <v>61.2</v>
      </c>
      <c r="H50" s="115">
        <f t="shared" si="3"/>
        <v>1836</v>
      </c>
      <c r="J50" s="7" t="s">
        <v>269</v>
      </c>
    </row>
    <row r="51" spans="1:10" x14ac:dyDescent="0.2">
      <c r="A51" s="186">
        <v>4059030213</v>
      </c>
      <c r="B51" s="11" t="s">
        <v>184</v>
      </c>
      <c r="C51" s="6" t="s">
        <v>24</v>
      </c>
      <c r="D51" s="61">
        <v>328.32</v>
      </c>
      <c r="E51" s="61">
        <f t="shared" si="5"/>
        <v>328.32</v>
      </c>
      <c r="F51" s="7">
        <v>5</v>
      </c>
      <c r="G51" s="114">
        <f t="shared" si="2"/>
        <v>65.664000000000001</v>
      </c>
      <c r="H51" s="115">
        <f t="shared" si="3"/>
        <v>328.32</v>
      </c>
    </row>
    <row r="52" spans="1:10" x14ac:dyDescent="0.2">
      <c r="A52" s="226">
        <v>4059013420</v>
      </c>
      <c r="B52" s="228" t="s">
        <v>184</v>
      </c>
      <c r="C52" s="217" t="s">
        <v>131</v>
      </c>
      <c r="D52" s="219">
        <v>280.52</v>
      </c>
      <c r="E52" s="219">
        <f t="shared" si="5"/>
        <v>280.52</v>
      </c>
      <c r="F52" s="7">
        <v>4</v>
      </c>
      <c r="G52" s="114">
        <f t="shared" si="2"/>
        <v>70.13</v>
      </c>
      <c r="H52" s="115">
        <f t="shared" si="3"/>
        <v>280.52</v>
      </c>
    </row>
    <row r="53" spans="1:10" x14ac:dyDescent="0.2">
      <c r="A53" s="222">
        <v>4059014680</v>
      </c>
      <c r="B53" s="229" t="s">
        <v>187</v>
      </c>
      <c r="C53" s="207" t="s">
        <v>136</v>
      </c>
      <c r="D53" s="230">
        <v>1442.4</v>
      </c>
      <c r="E53" s="208">
        <v>1485.6</v>
      </c>
      <c r="F53" s="7">
        <f>4*20</f>
        <v>80</v>
      </c>
      <c r="G53" s="114">
        <f t="shared" si="2"/>
        <v>18.03</v>
      </c>
      <c r="H53" s="115">
        <f t="shared" si="3"/>
        <v>1442.4</v>
      </c>
    </row>
    <row r="54" spans="1:10" x14ac:dyDescent="0.2">
      <c r="D54" s="156">
        <f>SUM(D21:D53)</f>
        <v>24168.890000000003</v>
      </c>
      <c r="E54" s="156">
        <f>SUM(E21:E53)</f>
        <v>19520.810000000001</v>
      </c>
    </row>
    <row r="55" spans="1:10" x14ac:dyDescent="0.2">
      <c r="J55" s="115"/>
    </row>
  </sheetData>
  <mergeCells count="2">
    <mergeCell ref="A1:E1"/>
    <mergeCell ref="A19:E19"/>
  </mergeCells>
  <hyperlinks>
    <hyperlink ref="B6" r:id="rId1" display="Encartis@ fungicide" xr:uid="{25FF9422-E770-4871-A14C-DAF254DAD7B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B22" sqref="B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336" t="s">
        <v>12</v>
      </c>
      <c r="B2" s="336"/>
      <c r="C2" s="19"/>
      <c r="D2" s="18"/>
      <c r="E2" s="18">
        <v>4</v>
      </c>
      <c r="F2" s="18">
        <v>5</v>
      </c>
      <c r="G2" s="18">
        <v>6</v>
      </c>
      <c r="H2" s="18">
        <v>7</v>
      </c>
      <c r="I2" s="18"/>
      <c r="J2" s="18"/>
    </row>
    <row r="3" spans="1:18" x14ac:dyDescent="0.2">
      <c r="A3" s="99" t="s">
        <v>13</v>
      </c>
      <c r="B3" s="100" t="s">
        <v>14</v>
      </c>
      <c r="C3" s="101" t="s">
        <v>15</v>
      </c>
      <c r="D3" s="99" t="s">
        <v>16</v>
      </c>
      <c r="E3" s="99" t="s">
        <v>17</v>
      </c>
      <c r="F3" s="99" t="s">
        <v>54</v>
      </c>
      <c r="G3" s="99" t="s">
        <v>174</v>
      </c>
      <c r="H3" s="99" t="s">
        <v>18</v>
      </c>
      <c r="I3" s="18"/>
      <c r="J3" s="18"/>
      <c r="K3" s="99" t="s">
        <v>17</v>
      </c>
      <c r="L3" s="99" t="s">
        <v>54</v>
      </c>
      <c r="M3" s="99" t="s">
        <v>18</v>
      </c>
    </row>
    <row r="4" spans="1:18" x14ac:dyDescent="0.2">
      <c r="A4" s="2" t="s">
        <v>256</v>
      </c>
      <c r="B4" s="1">
        <v>4059026671</v>
      </c>
      <c r="C4" s="1" t="s">
        <v>24</v>
      </c>
      <c r="D4" s="107"/>
      <c r="E4" s="97"/>
      <c r="F4" s="97"/>
      <c r="G4" s="97"/>
      <c r="H4" s="181">
        <f>640/43.5</f>
        <v>14.712643678160919</v>
      </c>
      <c r="I4" s="18"/>
      <c r="J4" s="18"/>
      <c r="K4" s="22"/>
      <c r="L4" s="22"/>
      <c r="M4" s="181">
        <f>640/43.5</f>
        <v>14.712643678160919</v>
      </c>
    </row>
    <row r="5" spans="1:18" x14ac:dyDescent="0.2">
      <c r="A5" s="2" t="s">
        <v>256</v>
      </c>
      <c r="B5" s="1">
        <v>4059032979</v>
      </c>
      <c r="C5" s="1" t="s">
        <v>267</v>
      </c>
      <c r="D5" s="107"/>
      <c r="E5" s="97"/>
      <c r="F5" s="97"/>
      <c r="G5" s="97"/>
      <c r="H5" s="181">
        <f>174/43.5</f>
        <v>4</v>
      </c>
      <c r="I5" s="18"/>
      <c r="J5" s="18"/>
      <c r="K5" s="22"/>
      <c r="L5" s="22"/>
      <c r="M5" s="181">
        <f>174/43.5</f>
        <v>4</v>
      </c>
    </row>
    <row r="6" spans="1:18" x14ac:dyDescent="0.2">
      <c r="A6" s="98" t="s">
        <v>82</v>
      </c>
      <c r="B6" s="20">
        <v>4059021463</v>
      </c>
      <c r="C6" s="21" t="s">
        <v>22</v>
      </c>
      <c r="D6" s="107"/>
      <c r="E6" s="97"/>
      <c r="F6" s="97"/>
      <c r="G6" s="97"/>
      <c r="H6" s="181">
        <v>10</v>
      </c>
      <c r="I6" s="18"/>
      <c r="J6" s="18"/>
      <c r="K6" s="22">
        <v>13.9</v>
      </c>
      <c r="L6" s="22">
        <v>12</v>
      </c>
      <c r="M6" s="22">
        <v>10</v>
      </c>
      <c r="Q6">
        <v>5</v>
      </c>
      <c r="R6" t="s">
        <v>271</v>
      </c>
    </row>
    <row r="7" spans="1:18" x14ac:dyDescent="0.2">
      <c r="A7" s="98" t="s">
        <v>82</v>
      </c>
      <c r="B7" s="20">
        <v>4059012825</v>
      </c>
      <c r="C7" s="21" t="s">
        <v>23</v>
      </c>
      <c r="D7" s="107"/>
      <c r="E7" s="97"/>
      <c r="F7" s="97"/>
      <c r="G7" s="97"/>
      <c r="H7" s="181">
        <v>50</v>
      </c>
      <c r="I7" s="18"/>
      <c r="J7" s="18"/>
      <c r="K7" s="22">
        <v>69.3</v>
      </c>
      <c r="L7" s="22">
        <v>60</v>
      </c>
      <c r="M7" s="22">
        <v>50</v>
      </c>
      <c r="Q7">
        <v>640</v>
      </c>
      <c r="R7" t="s">
        <v>272</v>
      </c>
    </row>
    <row r="8" spans="1:18" x14ac:dyDescent="0.2">
      <c r="A8" s="98" t="s">
        <v>190</v>
      </c>
      <c r="B8" s="20">
        <v>4059014003</v>
      </c>
      <c r="C8" s="124" t="s">
        <v>24</v>
      </c>
      <c r="D8" s="107"/>
      <c r="E8" s="97"/>
      <c r="F8" s="22">
        <v>4.9000000000000004</v>
      </c>
      <c r="G8" s="22">
        <v>4.2</v>
      </c>
      <c r="H8" s="182">
        <v>3.7</v>
      </c>
      <c r="I8" s="18"/>
      <c r="J8" s="18"/>
      <c r="K8" s="119">
        <v>99</v>
      </c>
      <c r="L8" s="119">
        <v>99</v>
      </c>
      <c r="M8" s="119">
        <v>99</v>
      </c>
    </row>
    <row r="9" spans="1:18" x14ac:dyDescent="0.2">
      <c r="A9" s="98" t="s">
        <v>83</v>
      </c>
      <c r="B9" s="20">
        <v>4059012885</v>
      </c>
      <c r="C9" s="21" t="s">
        <v>5</v>
      </c>
      <c r="D9" s="107"/>
      <c r="E9" s="97"/>
      <c r="F9" s="97"/>
      <c r="G9" s="97"/>
      <c r="H9" s="181">
        <v>12</v>
      </c>
      <c r="I9" s="18"/>
      <c r="J9" s="18"/>
      <c r="K9" s="22">
        <v>24</v>
      </c>
      <c r="L9" s="22">
        <v>18</v>
      </c>
      <c r="M9" s="22">
        <v>12</v>
      </c>
      <c r="Q9">
        <f>4*43.5</f>
        <v>174</v>
      </c>
    </row>
    <row r="10" spans="1:18" x14ac:dyDescent="0.2">
      <c r="A10" s="98" t="s">
        <v>83</v>
      </c>
      <c r="B10" s="20">
        <v>4059012350</v>
      </c>
      <c r="C10" s="21" t="s">
        <v>4</v>
      </c>
      <c r="D10" s="107"/>
      <c r="E10" s="97"/>
      <c r="F10" s="97"/>
      <c r="G10" s="97"/>
      <c r="H10" s="181">
        <v>6</v>
      </c>
      <c r="I10" s="18"/>
      <c r="J10" s="18"/>
      <c r="K10" s="22">
        <v>12</v>
      </c>
      <c r="L10" s="22">
        <v>9</v>
      </c>
      <c r="M10" s="22">
        <v>6</v>
      </c>
    </row>
    <row r="11" spans="1:18" x14ac:dyDescent="0.2">
      <c r="A11" s="98" t="s">
        <v>84</v>
      </c>
      <c r="B11" s="20">
        <v>4059028040</v>
      </c>
      <c r="C11" s="21" t="s">
        <v>24</v>
      </c>
      <c r="D11" s="107"/>
      <c r="E11" s="111"/>
      <c r="F11" s="111"/>
      <c r="G11" s="111"/>
      <c r="H11" s="183">
        <v>21</v>
      </c>
      <c r="I11" s="18"/>
      <c r="J11" s="18"/>
      <c r="K11" s="22">
        <v>36.799999999999997</v>
      </c>
      <c r="L11" s="22">
        <v>28.9</v>
      </c>
      <c r="M11" s="22">
        <v>21</v>
      </c>
      <c r="Q11">
        <f>Q7/Q9</f>
        <v>3.6781609195402298</v>
      </c>
    </row>
    <row r="12" spans="1:18" x14ac:dyDescent="0.2">
      <c r="A12" s="98" t="s">
        <v>84</v>
      </c>
      <c r="B12" s="20">
        <v>4059028038</v>
      </c>
      <c r="C12" s="21" t="s">
        <v>29</v>
      </c>
      <c r="D12" s="107"/>
      <c r="E12" s="97"/>
      <c r="F12" s="97"/>
      <c r="G12" s="97"/>
      <c r="H12" s="182">
        <v>4</v>
      </c>
      <c r="I12" s="18"/>
      <c r="J12" s="18"/>
      <c r="K12" s="22">
        <v>7</v>
      </c>
      <c r="L12" s="22">
        <v>5.5</v>
      </c>
      <c r="M12" s="22">
        <v>4</v>
      </c>
    </row>
    <row r="13" spans="1:18" x14ac:dyDescent="0.2">
      <c r="A13" s="98" t="s">
        <v>85</v>
      </c>
      <c r="B13" s="20">
        <v>4059027998</v>
      </c>
      <c r="C13" s="21" t="s">
        <v>26</v>
      </c>
      <c r="D13" s="107"/>
      <c r="E13" s="97"/>
      <c r="F13" s="97"/>
      <c r="G13" s="97"/>
      <c r="H13" s="181">
        <v>4</v>
      </c>
      <c r="I13" s="18"/>
      <c r="J13" s="18"/>
      <c r="K13" s="22">
        <v>5.68</v>
      </c>
      <c r="L13" s="22">
        <v>4.84</v>
      </c>
      <c r="M13" s="22">
        <v>4</v>
      </c>
    </row>
    <row r="14" spans="1:18" x14ac:dyDescent="0.2">
      <c r="A14" s="98" t="s">
        <v>138</v>
      </c>
      <c r="B14" s="20">
        <v>4059018087</v>
      </c>
      <c r="C14" s="21" t="s">
        <v>97</v>
      </c>
      <c r="D14" s="107"/>
      <c r="E14" s="22">
        <v>12</v>
      </c>
      <c r="F14" s="22">
        <v>6</v>
      </c>
      <c r="G14" s="22">
        <v>4</v>
      </c>
      <c r="H14" s="181">
        <v>3</v>
      </c>
      <c r="I14" s="18"/>
      <c r="J14" s="18"/>
      <c r="K14" s="22">
        <v>12</v>
      </c>
      <c r="L14" s="22">
        <v>6</v>
      </c>
      <c r="M14" s="22">
        <v>3</v>
      </c>
    </row>
    <row r="15" spans="1:18" x14ac:dyDescent="0.2">
      <c r="A15" s="98" t="s">
        <v>117</v>
      </c>
      <c r="B15" s="20">
        <v>4059018071</v>
      </c>
      <c r="C15" s="21" t="s">
        <v>24</v>
      </c>
      <c r="D15" s="107"/>
      <c r="E15" s="22">
        <v>73.5</v>
      </c>
      <c r="F15" s="22">
        <v>36</v>
      </c>
      <c r="G15" s="22">
        <v>24.6</v>
      </c>
      <c r="H15" s="184">
        <v>18</v>
      </c>
      <c r="I15" s="18"/>
      <c r="J15" s="18"/>
      <c r="K15" s="22">
        <v>73.5</v>
      </c>
      <c r="L15" s="22">
        <v>36</v>
      </c>
      <c r="M15" s="22">
        <v>18</v>
      </c>
    </row>
    <row r="16" spans="1:18" x14ac:dyDescent="0.2">
      <c r="A16" s="98" t="s">
        <v>140</v>
      </c>
      <c r="B16" s="20">
        <v>4059018094</v>
      </c>
      <c r="C16" s="124" t="s">
        <v>130</v>
      </c>
      <c r="D16" s="107"/>
      <c r="E16" s="97"/>
      <c r="F16" s="97"/>
      <c r="G16" s="97"/>
      <c r="H16" s="181">
        <v>4</v>
      </c>
      <c r="I16" s="18"/>
      <c r="J16" s="18"/>
      <c r="K16" s="22"/>
      <c r="L16" s="22">
        <v>5</v>
      </c>
      <c r="M16" s="22">
        <v>4</v>
      </c>
    </row>
    <row r="17" spans="1:14" x14ac:dyDescent="0.2">
      <c r="A17" s="98" t="s">
        <v>116</v>
      </c>
      <c r="B17" s="20">
        <v>4059018095</v>
      </c>
      <c r="C17" s="125" t="s">
        <v>24</v>
      </c>
      <c r="D17" s="107"/>
      <c r="E17" s="97"/>
      <c r="F17" s="97"/>
      <c r="G17" s="97"/>
      <c r="H17" s="181">
        <v>17</v>
      </c>
      <c r="I17" s="18"/>
      <c r="J17" s="18"/>
      <c r="K17" s="22"/>
      <c r="L17" s="22">
        <v>21</v>
      </c>
      <c r="M17" s="22">
        <v>17</v>
      </c>
    </row>
    <row r="18" spans="1:14" x14ac:dyDescent="0.2">
      <c r="A18" s="2" t="s">
        <v>115</v>
      </c>
      <c r="B18" s="20">
        <v>4059017959</v>
      </c>
      <c r="C18" s="21" t="s">
        <v>94</v>
      </c>
      <c r="D18" s="107"/>
      <c r="E18" s="111"/>
      <c r="F18" s="111"/>
      <c r="G18" s="111"/>
      <c r="H18" s="111"/>
      <c r="I18" s="18"/>
      <c r="J18" s="18"/>
      <c r="K18" s="22">
        <v>0.11</v>
      </c>
      <c r="L18" s="22">
        <v>0.11</v>
      </c>
      <c r="M18" s="22">
        <v>0.11</v>
      </c>
    </row>
    <row r="19" spans="1:14" x14ac:dyDescent="0.2">
      <c r="A19" s="2" t="s">
        <v>115</v>
      </c>
      <c r="B19" s="20">
        <v>4059012784</v>
      </c>
      <c r="C19" s="21" t="s">
        <v>53</v>
      </c>
      <c r="D19" s="107"/>
      <c r="E19" s="111"/>
      <c r="F19" s="111"/>
      <c r="G19" s="111"/>
      <c r="H19" s="111"/>
      <c r="I19" s="18"/>
      <c r="J19" s="18"/>
      <c r="K19" s="22">
        <v>0.22</v>
      </c>
      <c r="L19" s="22">
        <v>0.22</v>
      </c>
      <c r="M19" s="22">
        <v>0.22</v>
      </c>
    </row>
    <row r="20" spans="1:14" x14ac:dyDescent="0.2">
      <c r="A20" s="98" t="s">
        <v>86</v>
      </c>
      <c r="B20" s="20">
        <v>4059013833</v>
      </c>
      <c r="C20" s="21" t="s">
        <v>20</v>
      </c>
      <c r="D20" s="107"/>
      <c r="E20" s="111"/>
      <c r="F20" s="22">
        <v>32.799999999999997</v>
      </c>
      <c r="G20" s="22">
        <v>25</v>
      </c>
      <c r="H20" s="22">
        <v>20</v>
      </c>
      <c r="I20" s="18"/>
      <c r="J20" s="18"/>
      <c r="K20" s="22">
        <v>32.799999999999997</v>
      </c>
      <c r="L20" s="22">
        <v>24.95</v>
      </c>
      <c r="M20" s="22">
        <v>20</v>
      </c>
    </row>
    <row r="21" spans="1:14" x14ac:dyDescent="0.2">
      <c r="A21" s="98" t="s">
        <v>87</v>
      </c>
      <c r="B21" s="20">
        <v>4059014120</v>
      </c>
      <c r="C21" s="21" t="s">
        <v>9</v>
      </c>
      <c r="D21" s="107"/>
      <c r="E21" s="11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9" t="s">
        <v>178</v>
      </c>
      <c r="B24" s="99" t="s">
        <v>108</v>
      </c>
      <c r="C24" s="99" t="s">
        <v>179</v>
      </c>
      <c r="E24">
        <v>43.5</v>
      </c>
    </row>
    <row r="25" spans="1:14" x14ac:dyDescent="0.2">
      <c r="A25" s="113" t="s">
        <v>257</v>
      </c>
      <c r="B25" s="113" t="s">
        <v>273</v>
      </c>
      <c r="C25" s="113"/>
    </row>
    <row r="26" spans="1:14" x14ac:dyDescent="0.2">
      <c r="A26" s="113" t="s">
        <v>21</v>
      </c>
      <c r="B26" s="113" t="str">
        <f>"8.0"&amp;" "&amp;F26</f>
        <v>8.0 oz</v>
      </c>
      <c r="C26" s="113" t="s">
        <v>177</v>
      </c>
      <c r="D26">
        <v>0.18</v>
      </c>
      <c r="E26" s="150">
        <f>D26*$E$24</f>
        <v>7.83</v>
      </c>
      <c r="F26" s="18" t="s">
        <v>221</v>
      </c>
      <c r="M26">
        <f>5*128</f>
        <v>640</v>
      </c>
      <c r="N26" s="168">
        <f>M26/43.6</f>
        <v>14.678899082568806</v>
      </c>
    </row>
    <row r="27" spans="1:14" x14ac:dyDescent="0.2">
      <c r="A27" s="113" t="s">
        <v>191</v>
      </c>
      <c r="B27" s="113" t="s">
        <v>203</v>
      </c>
      <c r="C27" s="113"/>
      <c r="E27" s="150"/>
    </row>
    <row r="28" spans="1:14" x14ac:dyDescent="0.2">
      <c r="A28" s="113" t="s">
        <v>191</v>
      </c>
      <c r="B28" s="113" t="s">
        <v>194</v>
      </c>
      <c r="C28" s="113">
        <v>5</v>
      </c>
      <c r="E28" s="150"/>
    </row>
    <row r="29" spans="1:14" x14ac:dyDescent="0.2">
      <c r="A29" s="113" t="s">
        <v>191</v>
      </c>
      <c r="B29" s="113" t="s">
        <v>195</v>
      </c>
      <c r="C29" s="113">
        <v>6</v>
      </c>
      <c r="E29" s="150"/>
      <c r="M29">
        <f>5*128</f>
        <v>640</v>
      </c>
    </row>
    <row r="30" spans="1:14" x14ac:dyDescent="0.2">
      <c r="A30" s="113" t="s">
        <v>191</v>
      </c>
      <c r="B30" s="113" t="s">
        <v>196</v>
      </c>
      <c r="C30" s="113">
        <v>7</v>
      </c>
      <c r="E30" s="150"/>
      <c r="M30">
        <f>M29/43.6</f>
        <v>14.678899082568806</v>
      </c>
    </row>
    <row r="31" spans="1:14" x14ac:dyDescent="0.2">
      <c r="A31" s="113" t="s">
        <v>27</v>
      </c>
      <c r="B31" s="113" t="str">
        <f>"48.0"&amp;" "&amp;F31</f>
        <v>48.0 oz</v>
      </c>
      <c r="C31" s="113" t="s">
        <v>177</v>
      </c>
      <c r="D31">
        <v>1.1000000000000001</v>
      </c>
      <c r="E31" s="150">
        <f>D31*$E$24</f>
        <v>47.85</v>
      </c>
      <c r="F31" s="18" t="s">
        <v>221</v>
      </c>
    </row>
    <row r="32" spans="1:14" x14ac:dyDescent="0.2">
      <c r="A32" s="113" t="s">
        <v>175</v>
      </c>
      <c r="B32" s="113" t="str">
        <f>30.5&amp;" "&amp;F32</f>
        <v>30.5 oz</v>
      </c>
      <c r="C32" s="113" t="s">
        <v>177</v>
      </c>
      <c r="D32">
        <v>0.7</v>
      </c>
      <c r="E32" s="150">
        <f>D32*$E$24</f>
        <v>30.45</v>
      </c>
      <c r="F32" s="18" t="s">
        <v>221</v>
      </c>
    </row>
    <row r="33" spans="1:13" x14ac:dyDescent="0.2">
      <c r="A33" s="113" t="s">
        <v>25</v>
      </c>
      <c r="B33" s="113" t="str">
        <f>"21.0"&amp;" "&amp;F33</f>
        <v>21.0 oz</v>
      </c>
      <c r="C33" s="113" t="s">
        <v>177</v>
      </c>
      <c r="D33">
        <v>0.47</v>
      </c>
      <c r="E33" s="150">
        <f>D33*$E$24</f>
        <v>20.445</v>
      </c>
      <c r="F33" s="18" t="s">
        <v>221</v>
      </c>
      <c r="M33" s="167">
        <f>0.07*M26</f>
        <v>44.800000000000004</v>
      </c>
    </row>
    <row r="34" spans="1:13" x14ac:dyDescent="0.2">
      <c r="A34" s="113" t="s">
        <v>105</v>
      </c>
      <c r="B34" s="113" t="str">
        <f>37.5&amp;" "&amp;F34</f>
        <v>37.5 oz</v>
      </c>
      <c r="C34" s="113" t="s">
        <v>177</v>
      </c>
      <c r="D34">
        <v>0.85</v>
      </c>
      <c r="E34" s="150">
        <f>D34*$E$24</f>
        <v>36.975000000000001</v>
      </c>
      <c r="F34" s="18" t="s">
        <v>221</v>
      </c>
    </row>
    <row r="35" spans="1:13" x14ac:dyDescent="0.2">
      <c r="A35" s="113" t="s">
        <v>104</v>
      </c>
      <c r="B35" s="113" t="s">
        <v>203</v>
      </c>
      <c r="C35" s="113"/>
      <c r="E35" s="150"/>
      <c r="M35">
        <f>0.07*M26</f>
        <v>44.800000000000004</v>
      </c>
    </row>
    <row r="36" spans="1:13" x14ac:dyDescent="0.2">
      <c r="A36" s="113" t="s">
        <v>104</v>
      </c>
      <c r="B36" s="113" t="str">
        <f t="shared" ref="B36:B39" si="0">E36&amp;" "&amp;F36</f>
        <v>8.7 oz</v>
      </c>
      <c r="C36" s="113">
        <v>4</v>
      </c>
      <c r="D36">
        <v>0.2</v>
      </c>
      <c r="E36" s="150">
        <f>D36*$E$24</f>
        <v>8.7000000000000011</v>
      </c>
      <c r="F36" s="18" t="s">
        <v>221</v>
      </c>
    </row>
    <row r="37" spans="1:13" x14ac:dyDescent="0.2">
      <c r="A37" s="113" t="s">
        <v>104</v>
      </c>
      <c r="B37" s="113" t="str">
        <f t="shared" si="0"/>
        <v>17.4 oz</v>
      </c>
      <c r="C37" s="113">
        <v>5</v>
      </c>
      <c r="D37">
        <v>0.4</v>
      </c>
      <c r="E37" s="150">
        <f>D37*$E$24</f>
        <v>17.400000000000002</v>
      </c>
      <c r="F37" s="18" t="s">
        <v>221</v>
      </c>
    </row>
    <row r="38" spans="1:13" x14ac:dyDescent="0.2">
      <c r="A38" s="113" t="s">
        <v>104</v>
      </c>
      <c r="B38" s="113" t="str">
        <f t="shared" si="0"/>
        <v>26.1 oz</v>
      </c>
      <c r="C38" s="113">
        <v>6</v>
      </c>
      <c r="D38">
        <v>0.6</v>
      </c>
      <c r="E38" s="150">
        <f>D38*$E$24</f>
        <v>26.099999999999998</v>
      </c>
      <c r="F38" s="18" t="s">
        <v>221</v>
      </c>
      <c r="M38">
        <f>640/43.6</f>
        <v>14.678899082568806</v>
      </c>
    </row>
    <row r="39" spans="1:13" x14ac:dyDescent="0.2">
      <c r="A39" s="113" t="s">
        <v>104</v>
      </c>
      <c r="B39" s="113" t="str">
        <f t="shared" si="0"/>
        <v>34.8 oz</v>
      </c>
      <c r="C39" s="113">
        <v>7</v>
      </c>
      <c r="D39">
        <v>0.8</v>
      </c>
      <c r="E39" s="150">
        <f>D39*$E$24</f>
        <v>34.800000000000004</v>
      </c>
      <c r="F39" s="18" t="s">
        <v>221</v>
      </c>
    </row>
    <row r="40" spans="1:13" x14ac:dyDescent="0.2">
      <c r="A40" s="113" t="s">
        <v>176</v>
      </c>
      <c r="B40" s="113" t="s">
        <v>203</v>
      </c>
      <c r="C40" s="113"/>
      <c r="E40" s="150"/>
    </row>
    <row r="41" spans="1:13" x14ac:dyDescent="0.2">
      <c r="A41" s="113" t="s">
        <v>176</v>
      </c>
      <c r="B41" s="113" t="str">
        <f>E41&amp;" "&amp;F41</f>
        <v>7 oz</v>
      </c>
      <c r="C41" s="113">
        <v>5</v>
      </c>
      <c r="E41" s="150">
        <v>7</v>
      </c>
      <c r="F41" s="18" t="s">
        <v>221</v>
      </c>
    </row>
    <row r="42" spans="1:13" x14ac:dyDescent="0.2">
      <c r="A42" s="113" t="s">
        <v>176</v>
      </c>
      <c r="B42" s="113" t="str">
        <f>E42&amp;" "&amp;F42</f>
        <v>9.2 oz</v>
      </c>
      <c r="C42" s="113">
        <v>6</v>
      </c>
      <c r="D42">
        <v>0.21</v>
      </c>
      <c r="E42" s="150">
        <v>9.1999999999999993</v>
      </c>
      <c r="F42" s="18" t="s">
        <v>221</v>
      </c>
    </row>
    <row r="43" spans="1:13" x14ac:dyDescent="0.2">
      <c r="A43" s="113" t="s">
        <v>176</v>
      </c>
      <c r="B43" s="113" t="str">
        <f t="shared" ref="B43" si="1">E43&amp;" "&amp;F43</f>
        <v>11.4 oz</v>
      </c>
      <c r="C43" s="113">
        <v>7</v>
      </c>
      <c r="D43">
        <v>0.26</v>
      </c>
      <c r="E43" s="150">
        <v>11.4</v>
      </c>
      <c r="F43" s="18" t="s">
        <v>221</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H9"/>
  <sheetViews>
    <sheetView workbookViewId="0">
      <selection activeCell="G21" sqref="G21"/>
    </sheetView>
  </sheetViews>
  <sheetFormatPr defaultRowHeight="12.75" x14ac:dyDescent="0.2"/>
  <cols>
    <col min="1" max="1" width="7.7109375" customWidth="1"/>
    <col min="2" max="4" width="25.7109375" customWidth="1"/>
    <col min="5" max="5" width="25.42578125" bestFit="1" customWidth="1"/>
    <col min="6" max="6" width="0.7109375" customWidth="1"/>
    <col min="7" max="8" width="25.7109375" customWidth="1"/>
  </cols>
  <sheetData>
    <row r="2" spans="2:8" ht="13.15" customHeight="1" x14ac:dyDescent="0.2">
      <c r="B2" s="339" t="s">
        <v>231</v>
      </c>
      <c r="C2" s="340"/>
      <c r="D2" s="340"/>
      <c r="E2" s="340"/>
      <c r="G2" s="337" t="s">
        <v>240</v>
      </c>
      <c r="H2" s="338"/>
    </row>
    <row r="3" spans="2:8" ht="18" customHeight="1" x14ac:dyDescent="0.2">
      <c r="B3" s="347" t="s">
        <v>215</v>
      </c>
      <c r="C3" s="349" t="s">
        <v>201</v>
      </c>
      <c r="D3" s="350"/>
      <c r="E3" s="341" t="s">
        <v>263</v>
      </c>
      <c r="F3" s="93"/>
      <c r="G3" s="351" t="s">
        <v>210</v>
      </c>
      <c r="H3" s="128" t="s">
        <v>201</v>
      </c>
    </row>
    <row r="4" spans="2:8" ht="18" customHeight="1" x14ac:dyDescent="0.2">
      <c r="B4" s="348"/>
      <c r="C4" s="127" t="s">
        <v>284</v>
      </c>
      <c r="D4" s="127" t="s">
        <v>285</v>
      </c>
      <c r="E4" s="341"/>
      <c r="F4" s="93"/>
      <c r="G4" s="352"/>
      <c r="H4" s="129" t="s">
        <v>286</v>
      </c>
    </row>
    <row r="5" spans="2:8" x14ac:dyDescent="0.2">
      <c r="B5" s="130" t="s">
        <v>232</v>
      </c>
      <c r="C5" s="131">
        <v>0.08</v>
      </c>
      <c r="D5" s="131">
        <v>0.03</v>
      </c>
      <c r="E5" s="131" t="s">
        <v>251</v>
      </c>
      <c r="F5" s="49"/>
      <c r="G5" s="130" t="s">
        <v>229</v>
      </c>
      <c r="H5" s="131">
        <v>0.04</v>
      </c>
    </row>
    <row r="6" spans="2:8" x14ac:dyDescent="0.2">
      <c r="B6" s="132" t="s">
        <v>233</v>
      </c>
      <c r="C6" s="133">
        <v>0.14000000000000001</v>
      </c>
      <c r="D6" s="133">
        <v>0.06</v>
      </c>
      <c r="E6" s="133" t="s">
        <v>252</v>
      </c>
      <c r="F6" s="49"/>
      <c r="G6" s="132" t="s">
        <v>228</v>
      </c>
      <c r="H6" s="133">
        <v>0.06</v>
      </c>
    </row>
    <row r="7" spans="2:8" ht="13.15" customHeight="1" x14ac:dyDescent="0.2">
      <c r="B7" s="130" t="s">
        <v>234</v>
      </c>
      <c r="C7" s="131" t="s">
        <v>243</v>
      </c>
      <c r="D7" s="131" t="s">
        <v>253</v>
      </c>
      <c r="E7" s="131" t="s">
        <v>252</v>
      </c>
      <c r="F7" s="49"/>
      <c r="G7" s="157" t="s">
        <v>230</v>
      </c>
      <c r="H7" s="342">
        <v>0.12</v>
      </c>
    </row>
    <row r="8" spans="2:8" x14ac:dyDescent="0.2">
      <c r="B8" s="132" t="s">
        <v>235</v>
      </c>
      <c r="C8" s="133" t="s">
        <v>244</v>
      </c>
      <c r="D8" s="133" t="s">
        <v>246</v>
      </c>
      <c r="E8" s="133" t="s">
        <v>252</v>
      </c>
      <c r="F8" s="49"/>
      <c r="G8" s="345" t="s">
        <v>255</v>
      </c>
      <c r="H8" s="343"/>
    </row>
    <row r="9" spans="2:8" x14ac:dyDescent="0.2">
      <c r="B9" s="130" t="s">
        <v>236</v>
      </c>
      <c r="C9" s="131" t="s">
        <v>245</v>
      </c>
      <c r="D9" s="131" t="s">
        <v>254</v>
      </c>
      <c r="E9" s="131" t="s">
        <v>252</v>
      </c>
      <c r="G9" s="346"/>
      <c r="H9" s="344"/>
    </row>
  </sheetData>
  <mergeCells count="8">
    <mergeCell ref="G2:H2"/>
    <mergeCell ref="B2:E2"/>
    <mergeCell ref="E3:E4"/>
    <mergeCell ref="H7:H9"/>
    <mergeCell ref="G8:G9"/>
    <mergeCell ref="B3:B4"/>
    <mergeCell ref="C3:D3"/>
    <mergeCell ref="G3:G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5902A9-E12F-4B1E-8951-232BEAF9D0FA}">
  <ds:schemaRefs>
    <ds:schemaRef ds:uri="http://schemas.microsoft.com/sharepoint/v3/contenttype/forms"/>
  </ds:schemaRefs>
</ds:datastoreItem>
</file>

<file path=customXml/itemProps2.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customXml/itemProps3.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 1 - Fungicide Planner</vt:lpstr>
      <vt:lpstr>Step 2 - Order Planner</vt:lpstr>
      <vt:lpstr>Step 3 - Review Order</vt:lpstr>
      <vt:lpstr>'Step 2 - Order Planner'!Print_Area</vt:lpstr>
      <vt:lpstr>'Step 3 -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